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eagle02\weblba$\Budget\House_Finance_Division_III\Committee_Requests_and_Agency_Responses\"/>
    </mc:Choice>
  </mc:AlternateContent>
  <xr:revisionPtr revIDLastSave="0" documentId="13_ncr:1_{90E87ADA-DE68-4866-9983-47A11236D4A6}" xr6:coauthVersionLast="45" xr6:coauthVersionMax="45" xr10:uidLastSave="{00000000-0000-0000-0000-000000000000}"/>
  <bookViews>
    <workbookView xWindow="-120" yWindow="-120" windowWidth="29040" windowHeight="15840" xr2:uid="{00000000-000D-0000-FFFF-FFFF00000000}"/>
  </bookViews>
  <sheets>
    <sheet name="Note" sheetId="3" r:id="rId1"/>
    <sheet name="Unbudgeted Prioritized Needs" sheetId="2" r:id="rId2"/>
  </sheets>
  <definedNames>
    <definedName name="_xlnm.Print_Titles" localSheetId="1">'Unbudgeted Prioritized Needs'!$2:$2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0" i="2" l="1"/>
  <c r="K20" i="2"/>
  <c r="O20" i="2" s="1"/>
  <c r="G20" i="2"/>
  <c r="F20" i="2"/>
  <c r="J20" i="2" l="1"/>
  <c r="O49" i="2"/>
  <c r="J49" i="2"/>
  <c r="O45" i="2"/>
  <c r="J45" i="2"/>
  <c r="N40" i="2"/>
  <c r="O40" i="2" s="1"/>
  <c r="I40" i="2"/>
  <c r="J40" i="2" s="1"/>
  <c r="J85" i="2" l="1"/>
  <c r="J4" i="2"/>
  <c r="J5" i="2"/>
  <c r="J6" i="2"/>
  <c r="J7" i="2"/>
  <c r="J8" i="2"/>
  <c r="J9" i="2"/>
  <c r="J10" i="2"/>
  <c r="J11" i="2"/>
  <c r="J12" i="2"/>
  <c r="J13" i="2"/>
  <c r="J14" i="2"/>
  <c r="J15" i="2"/>
  <c r="J16" i="2"/>
  <c r="J17" i="2"/>
  <c r="J18" i="2"/>
  <c r="J21" i="2"/>
  <c r="J28" i="2"/>
  <c r="J29" i="2"/>
  <c r="J30" i="2"/>
  <c r="J31" i="2"/>
  <c r="J32" i="2"/>
  <c r="J33" i="2"/>
  <c r="J34" i="2"/>
  <c r="J35" i="2"/>
  <c r="J36" i="2"/>
  <c r="J37" i="2"/>
  <c r="J42" i="2"/>
  <c r="J43" i="2"/>
  <c r="J44" i="2"/>
  <c r="J46" i="2"/>
  <c r="J47" i="2"/>
  <c r="J48" i="2"/>
  <c r="J50" i="2"/>
  <c r="J51" i="2"/>
  <c r="J52" i="2"/>
  <c r="J58" i="2"/>
  <c r="J63" i="2"/>
  <c r="J66" i="2"/>
  <c r="J68" i="2"/>
  <c r="J73" i="2"/>
  <c r="J74" i="2"/>
  <c r="J75" i="2"/>
  <c r="J76" i="2"/>
  <c r="J77" i="2"/>
  <c r="J78" i="2"/>
  <c r="J79" i="2"/>
  <c r="J80" i="2"/>
  <c r="J81" i="2"/>
  <c r="J82" i="2"/>
  <c r="J83" i="2"/>
  <c r="J84" i="2"/>
  <c r="J86" i="2"/>
  <c r="J87" i="2"/>
  <c r="J88" i="2"/>
  <c r="J89" i="2"/>
  <c r="J90" i="2"/>
  <c r="J91" i="2"/>
  <c r="J92" i="2"/>
  <c r="J93" i="2"/>
  <c r="J94" i="2"/>
  <c r="J95" i="2"/>
  <c r="J96" i="2"/>
  <c r="J97" i="2"/>
  <c r="J98" i="2"/>
  <c r="J99" i="2"/>
  <c r="J100" i="2"/>
  <c r="J101" i="2"/>
  <c r="J102" i="2"/>
  <c r="J103" i="2"/>
  <c r="J3" i="2"/>
  <c r="M1" i="2" l="1"/>
  <c r="H1" i="2"/>
  <c r="O37" i="2" l="1"/>
  <c r="O42" i="2"/>
  <c r="O43" i="2"/>
  <c r="O44" i="2"/>
  <c r="O46" i="2"/>
  <c r="O47" i="2"/>
  <c r="O48" i="2"/>
  <c r="O50" i="2"/>
  <c r="O51" i="2"/>
  <c r="O52" i="2"/>
  <c r="O53" i="2"/>
  <c r="O57" i="2"/>
  <c r="O65" i="2"/>
  <c r="O67" i="2"/>
  <c r="O69" i="2"/>
  <c r="O70" i="2"/>
  <c r="O71" i="2"/>
  <c r="O72" i="2"/>
  <c r="O76" i="2"/>
  <c r="O77" i="2"/>
  <c r="O78" i="2"/>
  <c r="O79" i="2"/>
  <c r="O80" i="2"/>
  <c r="O81" i="2"/>
  <c r="O82" i="2"/>
  <c r="O83" i="2"/>
  <c r="O84" i="2"/>
  <c r="O85" i="2"/>
  <c r="O86" i="2"/>
  <c r="O87" i="2"/>
  <c r="O88" i="2"/>
  <c r="O89" i="2"/>
  <c r="O90" i="2"/>
  <c r="O91" i="2"/>
  <c r="O92" i="2"/>
  <c r="O93" i="2"/>
  <c r="O94" i="2"/>
  <c r="O95" i="2"/>
  <c r="O96" i="2"/>
  <c r="O97" i="2"/>
  <c r="O98" i="2"/>
  <c r="O99" i="2"/>
  <c r="O100" i="2"/>
  <c r="O101" i="2"/>
  <c r="O102" i="2"/>
  <c r="O103" i="2"/>
  <c r="N75" i="2" l="1"/>
  <c r="L75" i="2"/>
  <c r="K75" i="2"/>
  <c r="N74" i="2"/>
  <c r="L74" i="2"/>
  <c r="K74" i="2"/>
  <c r="N73" i="2"/>
  <c r="L73" i="2"/>
  <c r="K73" i="2"/>
  <c r="I72" i="2"/>
  <c r="G72" i="2"/>
  <c r="F72" i="2"/>
  <c r="I71" i="2"/>
  <c r="G71" i="2"/>
  <c r="F71" i="2"/>
  <c r="I70" i="2"/>
  <c r="G70" i="2"/>
  <c r="F70" i="2"/>
  <c r="I69" i="2"/>
  <c r="G69" i="2"/>
  <c r="F69" i="2"/>
  <c r="N68" i="2"/>
  <c r="L68" i="2"/>
  <c r="K68" i="2"/>
  <c r="I67" i="2"/>
  <c r="G67" i="2"/>
  <c r="F67" i="2"/>
  <c r="N66" i="2"/>
  <c r="L66" i="2"/>
  <c r="K66" i="2"/>
  <c r="I65" i="2"/>
  <c r="G65" i="2"/>
  <c r="F65" i="2"/>
  <c r="N64" i="2"/>
  <c r="L64" i="2"/>
  <c r="K64" i="2"/>
  <c r="I64" i="2"/>
  <c r="G64" i="2"/>
  <c r="F64" i="2"/>
  <c r="N63" i="2"/>
  <c r="L63" i="2"/>
  <c r="K63" i="2"/>
  <c r="N62" i="2"/>
  <c r="L62" i="2"/>
  <c r="K62" i="2"/>
  <c r="I62" i="2"/>
  <c r="G62" i="2"/>
  <c r="F62" i="2"/>
  <c r="N61" i="2"/>
  <c r="L61" i="2"/>
  <c r="K61" i="2"/>
  <c r="I61" i="2"/>
  <c r="G61" i="2"/>
  <c r="F61" i="2"/>
  <c r="N60" i="2"/>
  <c r="L60" i="2"/>
  <c r="K60" i="2"/>
  <c r="F60" i="2"/>
  <c r="J60" i="2" s="1"/>
  <c r="N59" i="2"/>
  <c r="L59" i="2"/>
  <c r="K59" i="2"/>
  <c r="I59" i="2"/>
  <c r="G59" i="2"/>
  <c r="F59" i="2"/>
  <c r="N58" i="2"/>
  <c r="L58" i="2"/>
  <c r="K58" i="2"/>
  <c r="I57" i="2"/>
  <c r="G57" i="2"/>
  <c r="F57" i="2"/>
  <c r="N56" i="2"/>
  <c r="L56" i="2"/>
  <c r="K56" i="2"/>
  <c r="I56" i="2"/>
  <c r="G56" i="2"/>
  <c r="F56" i="2"/>
  <c r="N55" i="2"/>
  <c r="L55" i="2"/>
  <c r="K55" i="2"/>
  <c r="I55" i="2"/>
  <c r="G55" i="2"/>
  <c r="F55" i="2"/>
  <c r="N54" i="2"/>
  <c r="L54" i="2"/>
  <c r="K54" i="2"/>
  <c r="I54" i="2"/>
  <c r="G54" i="2"/>
  <c r="F54" i="2"/>
  <c r="I53" i="2"/>
  <c r="G53" i="2"/>
  <c r="F53" i="2"/>
  <c r="J56" i="2" l="1"/>
  <c r="J72" i="2"/>
  <c r="J53" i="2"/>
  <c r="J67" i="2"/>
  <c r="O55" i="2"/>
  <c r="J64" i="2"/>
  <c r="J71" i="2"/>
  <c r="J57" i="2"/>
  <c r="J61" i="2"/>
  <c r="O66" i="2"/>
  <c r="O74" i="2"/>
  <c r="O54" i="2"/>
  <c r="O59" i="2"/>
  <c r="O62" i="2"/>
  <c r="J54" i="2"/>
  <c r="J69" i="2"/>
  <c r="J59" i="2"/>
  <c r="J62" i="2"/>
  <c r="J70" i="2"/>
  <c r="J55" i="2"/>
  <c r="O63" i="2"/>
  <c r="J65" i="2"/>
  <c r="O56" i="2"/>
  <c r="O60" i="2"/>
  <c r="O73" i="2"/>
  <c r="O68" i="2"/>
  <c r="O64" i="2"/>
  <c r="O58" i="2"/>
  <c r="O61" i="2"/>
  <c r="O75" i="2"/>
  <c r="N41" i="2"/>
  <c r="K41" i="2"/>
  <c r="I41" i="2"/>
  <c r="F41" i="2"/>
  <c r="N39" i="2"/>
  <c r="K39" i="2"/>
  <c r="I39" i="2"/>
  <c r="F39" i="2"/>
  <c r="J39" i="2" s="1"/>
  <c r="N38" i="2"/>
  <c r="K38" i="2"/>
  <c r="I38" i="2"/>
  <c r="F38" i="2"/>
  <c r="N1" i="2" l="1"/>
  <c r="J38" i="2"/>
  <c r="J41" i="2"/>
  <c r="O39" i="2"/>
  <c r="I1" i="2"/>
  <c r="O38" i="2"/>
  <c r="O41" i="2"/>
  <c r="O29" i="2"/>
  <c r="O30" i="2"/>
  <c r="O31" i="2"/>
  <c r="O32" i="2"/>
  <c r="O33" i="2"/>
  <c r="O34" i="2"/>
  <c r="O35" i="2"/>
  <c r="O36" i="2"/>
  <c r="O27" i="2" l="1"/>
  <c r="O26" i="2"/>
  <c r="O21" i="2"/>
  <c r="K28" i="2"/>
  <c r="O28" i="2" s="1"/>
  <c r="G27" i="2"/>
  <c r="J27" i="2" s="1"/>
  <c r="G26" i="2"/>
  <c r="J26" i="2" s="1"/>
  <c r="L25" i="2"/>
  <c r="O25" i="2" s="1"/>
  <c r="G25" i="2"/>
  <c r="J25" i="2" s="1"/>
  <c r="L24" i="2"/>
  <c r="K24" i="2"/>
  <c r="G24" i="2"/>
  <c r="F24" i="2"/>
  <c r="L23" i="2"/>
  <c r="O23" i="2" s="1"/>
  <c r="G23" i="2"/>
  <c r="J23" i="2" s="1"/>
  <c r="L22" i="2"/>
  <c r="O22" i="2" s="1"/>
  <c r="J22" i="2"/>
  <c r="J24" i="2" l="1"/>
  <c r="O24" i="2"/>
  <c r="O4" i="2"/>
  <c r="O5" i="2"/>
  <c r="O6" i="2"/>
  <c r="O7" i="2"/>
  <c r="O8" i="2"/>
  <c r="O9" i="2"/>
  <c r="O10" i="2"/>
  <c r="O11" i="2"/>
  <c r="O12" i="2"/>
  <c r="O13" i="2"/>
  <c r="O14" i="2"/>
  <c r="O15" i="2"/>
  <c r="O16" i="2"/>
  <c r="O17" i="2"/>
  <c r="O18" i="2"/>
  <c r="O19" i="2"/>
  <c r="O3" i="2"/>
  <c r="L1" i="2"/>
  <c r="G19" i="2"/>
  <c r="F19" i="2"/>
  <c r="J19" i="2" l="1"/>
  <c r="J1" i="2" s="1"/>
  <c r="K1" i="2"/>
  <c r="F1" i="2"/>
  <c r="G1" i="2"/>
  <c r="O1" i="2"/>
</calcChain>
</file>

<file path=xl/sharedStrings.xml><?xml version="1.0" encoding="utf-8"?>
<sst xmlns="http://schemas.openxmlformats.org/spreadsheetml/2006/main" count="360" uniqueCount="197">
  <si>
    <t>Agency</t>
  </si>
  <si>
    <t>FY 22 - General Funds</t>
  </si>
  <si>
    <t>FY 22 - Highway Funds</t>
  </si>
  <si>
    <t>FY 22 - Federal Funds</t>
  </si>
  <si>
    <t>FY 22 - Other Funds</t>
  </si>
  <si>
    <t>FY 22 - Total Funds</t>
  </si>
  <si>
    <t>FY 23 - General Funds</t>
  </si>
  <si>
    <t>FY 23 - Federal Funds</t>
  </si>
  <si>
    <t>FY 23 - Highway Funds</t>
  </si>
  <si>
    <t>FY 23 - Total Funds</t>
  </si>
  <si>
    <t>FY 23 - Other Funds</t>
  </si>
  <si>
    <t>"Other Funds" Type</t>
  </si>
  <si>
    <t>Prioritized Need Name</t>
  </si>
  <si>
    <t>FY 2022 - FY 2023 Agency Phase Prioritized Needs</t>
  </si>
  <si>
    <t>Division</t>
  </si>
  <si>
    <t>Accounting Unit(s)</t>
  </si>
  <si>
    <t>Prioritized Need Description</t>
  </si>
  <si>
    <t>BARS #</t>
  </si>
  <si>
    <t>Child Care Protect and Prevent</t>
  </si>
  <si>
    <t>QRIS</t>
  </si>
  <si>
    <t>Pyramid Model</t>
  </si>
  <si>
    <t>SYSC - Utilities</t>
  </si>
  <si>
    <t>SYSC</t>
  </si>
  <si>
    <t>SYSC - Barn (Roof &amp; Boiler)</t>
  </si>
  <si>
    <t>Shelter Funds</t>
  </si>
  <si>
    <t>In-State Travel</t>
  </si>
  <si>
    <t>Out of State Travel</t>
  </si>
  <si>
    <t>DEHS - Transportation</t>
  </si>
  <si>
    <t>DEHS - Facilitating Organization</t>
  </si>
  <si>
    <t>DEHS - Empath Membership</t>
  </si>
  <si>
    <t>DEHS - TANF MOE</t>
  </si>
  <si>
    <t>DEHS - Overtime</t>
  </si>
  <si>
    <t>DMS</t>
  </si>
  <si>
    <t>Funds projected CY22/23 rate increase. Efficiency Phase is level funded</t>
  </si>
  <si>
    <t>HB1639 amend the income eligibility requirement for the Medically Needy optional eligibility group (also known as the "Medicaid In &amp; Out" population) to less than or equal to 133 1/3 percent of the income limit contained in Section 1931 of the federal Social Security Act. Effective June 30, 2021, review for appropriation in SFY's 2022-23 budget</t>
  </si>
  <si>
    <t>He-W 549’s current population and service restrictions were added in 2010 to address budget shortfalls during the recession. SB274 successfully removed those population and service restrictions, so that the bill will essentially return to its original (pre-2010) status.</t>
  </si>
  <si>
    <t>HB4 359 Department of Health and Human Services; State Plan Amendment; Medicaid for Older Employed Adults with Disabilities (MOAD) Work Incentive Program. 360 Definitions; MOAD Program. 361 MOAD Work Incentive Program. 362 Rulemaking; MOAD Program.363 Applicability; MOAD.  Implemented 9.1.20 -costs are not in Efficiency</t>
  </si>
  <si>
    <t>Efficiency phase projects Pre-Covid enrollment as of July 2021 (best case scenario).  This PN covers the worst case,  if Pre-Covid levels are not reached until March 2022</t>
  </si>
  <si>
    <t>Rent Increase</t>
  </si>
  <si>
    <t xml:space="preserve">DPHS </t>
  </si>
  <si>
    <t>Increase in rent paid to DAS</t>
  </si>
  <si>
    <t>Comm Collab - Greater Manchester</t>
  </si>
  <si>
    <t>DPHS</t>
  </si>
  <si>
    <t xml:space="preserve">Parental Assistance Funds' - contract with Amoskeag Health Center to reduce child maltreatment </t>
  </si>
  <si>
    <t>Comm Collab - Winni Partnership</t>
  </si>
  <si>
    <t xml:space="preserve">Parental Assistance Funds' - contract with Lakes Region Community Svcs  to reduce child maltreatment </t>
  </si>
  <si>
    <t>Comm Collab - No Country Consortium</t>
  </si>
  <si>
    <t>Parental Assistance Funds' - contract with Coos County  to improve parent-child interactions</t>
  </si>
  <si>
    <t>Comm Collab - Family Connection</t>
  </si>
  <si>
    <t>Parental Assistance Funds' - MOU with Dept of Corrections  to reduce child maltreatment</t>
  </si>
  <si>
    <t>Home Visiting - HFA</t>
  </si>
  <si>
    <t>Parental Assistance Funds' - contracts in community to facilitate improved coordination of services &amp; referrals</t>
  </si>
  <si>
    <t xml:space="preserve">Home Visiting -Plan of Self Care </t>
  </si>
  <si>
    <t>Parental Assistance Funds' - contract with Waypoint to facilitate improved coordination of services &amp; referrals</t>
  </si>
  <si>
    <t xml:space="preserve">NH Tobacco Prevention </t>
  </si>
  <si>
    <t>Contract for Teen Vaping Prevention &amp; NH Quitline</t>
  </si>
  <si>
    <t xml:space="preserve">PH Lab Equipment </t>
  </si>
  <si>
    <t>Glencliff</t>
  </si>
  <si>
    <t>With retirement of tenured staff, recruiting permanent staff at Glencliff can be challenging, and as such many shifts are covered with overtime or part-time staff. These funds have been reduced from the initial budget request as part of the DHHS budget reductions.</t>
  </si>
  <si>
    <t>With retirement of tenured staff recruiting permanent staff at Glencliff can be challenging, and as such many shifts are covered with overtime or part-time staff. These funds have been reduced from the initial budget request as part of the DHHS budget reductions.</t>
  </si>
  <si>
    <t>Direct care employee training</t>
  </si>
  <si>
    <t>Glencliff does not have enough training funds to support new employees as well as requests made by staff for professional development and training opportunities.</t>
  </si>
  <si>
    <t>Recruiting permanent staff at Glencliff can be challenging, and as such many shifts are covered with overtime or part-time staff. These funds have been reduced from the initial budget request as part of the DHHS budget reductions.</t>
  </si>
  <si>
    <t>Glencliff is in need of updating and replacement of aging equipment throuhgout the facility, and has new equipment needs due to COVID-19. These funds are a part of the DHHS budget reductions.</t>
  </si>
  <si>
    <t>Glencliff needs consistent maintenance of the aging buildings and infrastructure. These funds are part of the DHHS budget reductions.</t>
  </si>
  <si>
    <t>Own forces maintenance</t>
  </si>
  <si>
    <t>Additional Guardianship Slots</t>
  </si>
  <si>
    <t>Stabilization Services</t>
  </si>
  <si>
    <t>Additional Rents - DAS</t>
  </si>
  <si>
    <t>Office of Administration</t>
  </si>
  <si>
    <t>(S) - Reconfigure SYSC reception area, adding Bullet Resistant transaction windows, Bullet Resistant Door and adding secondary egress from space</t>
  </si>
  <si>
    <t>Carpet Tile - Offices ($12.50/SF)</t>
  </si>
  <si>
    <t>(S) - Trip and fall hazard as carpet is buckling and worn</t>
  </si>
  <si>
    <t>Carpet  Tile - Conference Rooms ($12.50/SF)</t>
  </si>
  <si>
    <t>Carpet  Tile - Lobby and hallways ($12.50/SF)</t>
  </si>
  <si>
    <t>Carpet Tile Replacement Auditorium/Payroll</t>
  </si>
  <si>
    <t>Tile Replacement first floor</t>
  </si>
  <si>
    <t>(S) - Trip and fall hazard as tile is worn, cracked and bubbled</t>
  </si>
  <si>
    <t>Peasley Annex - Structural upgrades</t>
  </si>
  <si>
    <t>(C,S,B) - Cost effective - space can be renovated to relocate staff from leased property to State owned at a lower cost</t>
  </si>
  <si>
    <t>Window replacement - Peasley Annex</t>
  </si>
  <si>
    <t>(C,S,E) - Cost savings of approximately 35% on heating and air conditioning in the area where placed.  Provides security to building, and staff comfort</t>
  </si>
  <si>
    <t>Heating System Upgrade Phase I - multi zone</t>
  </si>
  <si>
    <t>(C,E) - More efficient use of heating as zones can be adjusted to specific use and space</t>
  </si>
  <si>
    <t>Carpet tile</t>
  </si>
  <si>
    <t>Enlarge parking utilizing area where Bakery/Industrial Shop and Kitchen were located</t>
  </si>
  <si>
    <t>(S) Creates parking so staff will not park in restricted areas and allow for better egress from building</t>
  </si>
  <si>
    <t>Lead paint abatement</t>
  </si>
  <si>
    <t>Security - Access Control</t>
  </si>
  <si>
    <t>(B,S) - Access control provides keyless access to the District Office.  This ties into the Department's centralized access control system.    Access control allows the separation of staff space from client space providing a secure and confidential environment.</t>
  </si>
  <si>
    <t xml:space="preserve">Lobby, Conference, Interview Rooms, Lounge Furniture </t>
  </si>
  <si>
    <t xml:space="preserve">(C,B) - By providing updated furniture, more efficient use of space can be realized, maximizing usage of total square footage.  </t>
  </si>
  <si>
    <t>Systems Furniture</t>
  </si>
  <si>
    <t>(C,B) - Cost effective by lessening the cost of leasing a facility by eliminating the need for drywall partitions and also reducing the square footage needed to house staff</t>
  </si>
  <si>
    <t xml:space="preserve">Claremont </t>
  </si>
  <si>
    <t xml:space="preserve">(C,B) - Update furniture for more effective use of limited space </t>
  </si>
  <si>
    <t>Lobby, Conference, Interview Rooms, Lounge Furniture</t>
  </si>
  <si>
    <t>Main Building -  @ 25 units - Peasley Annex L1</t>
  </si>
  <si>
    <t>Main Building @ 50 units - Peasley Annex L2 &amp; L3</t>
  </si>
  <si>
    <t>Concord DO @ 100 units</t>
  </si>
  <si>
    <t>Server Maintenance and Support</t>
  </si>
  <si>
    <t>Network Hardware - New</t>
  </si>
  <si>
    <t>Server Hardware - Replacement</t>
  </si>
  <si>
    <t>Network Hardware - Replacement</t>
  </si>
  <si>
    <t>PC Software</t>
  </si>
  <si>
    <t>Agency Application Software</t>
  </si>
  <si>
    <t>Enterprise, Network, and Operation Software</t>
  </si>
  <si>
    <t>Telecommunications Data</t>
  </si>
  <si>
    <t>IT Consul-Non-Benefit</t>
  </si>
  <si>
    <t>DEHS - CDHSC</t>
  </si>
  <si>
    <t>DCYF - SYSC</t>
  </si>
  <si>
    <t>Eviction Prevention</t>
  </si>
  <si>
    <t>Youth Rapid Re-Housing</t>
  </si>
  <si>
    <t>Homeless Streeet Outreach</t>
  </si>
  <si>
    <t>Support NH 211</t>
  </si>
  <si>
    <t>DEHS - BHS</t>
  </si>
  <si>
    <t>DEHS - BCSS</t>
  </si>
  <si>
    <t>DEHS - BFA</t>
  </si>
  <si>
    <t>DEHS - BFA-Field</t>
  </si>
  <si>
    <t>DMS-SPDC funding for annual CMS rate increase</t>
  </si>
  <si>
    <t>DMS-Adult Dental</t>
  </si>
  <si>
    <t>DMS-In and Out Spendown</t>
  </si>
  <si>
    <t>DMS-Home Visiting for Prenatal, Child, &amp; Family Support</t>
  </si>
  <si>
    <t>DMS-MOAD</t>
  </si>
  <si>
    <t>DMS-Funding for increased cost if  Pre-Covid Enrollment is not reached until March 2022</t>
  </si>
  <si>
    <t>DMS-MMIS Enterprise (EVV Penalties)</t>
  </si>
  <si>
    <t>301-A-CMC-DPHS Rent Increase</t>
  </si>
  <si>
    <t>302-A-PE-PAF-Comm Collab</t>
  </si>
  <si>
    <t>303-A-PAF-Comm Collab</t>
  </si>
  <si>
    <t>304-A-PAF-Comm Collab</t>
  </si>
  <si>
    <t>305-A-PAF-Comm Collab</t>
  </si>
  <si>
    <t xml:space="preserve">306-A-PAF-Home Vstng </t>
  </si>
  <si>
    <t xml:space="preserve">307-A-PAF-Home Vstng </t>
  </si>
  <si>
    <t>308-A-Tobacco Prgm</t>
  </si>
  <si>
    <t>309-A-CMC-DPHS Lab Equipment</t>
  </si>
  <si>
    <t>Direct care overtime (018)</t>
  </si>
  <si>
    <t>Direct care part-time wages (50)</t>
  </si>
  <si>
    <t>Custodial care overtime (18)</t>
  </si>
  <si>
    <t>Custodial care equipment (30)</t>
  </si>
  <si>
    <t>Custodial care part-time wages (50)</t>
  </si>
  <si>
    <t>Maintenance supplies (20)</t>
  </si>
  <si>
    <t>Maintenance part-time wages (50)</t>
  </si>
  <si>
    <t xml:space="preserve">DBH </t>
  </si>
  <si>
    <t>Sum of Below</t>
  </si>
  <si>
    <t>Information Systems</t>
  </si>
  <si>
    <t>Billing Revenue (Medicaid)</t>
  </si>
  <si>
    <t>Benefits (60)</t>
  </si>
  <si>
    <t>250, 251</t>
  </si>
  <si>
    <t>251, 256</t>
  </si>
  <si>
    <t>To replace antiquated Laboratory equipment</t>
  </si>
  <si>
    <t>Interagency - Class 049</t>
  </si>
  <si>
    <t>This is a double budget of utility expenses for SYSC.  Funds are budgeted in AU 5676 efficiency</t>
  </si>
  <si>
    <t>This is for the Barn roof and boiler at SYSC.  A Capital Budget request was made.</t>
  </si>
  <si>
    <t>TANF MOE projected shortfall</t>
  </si>
  <si>
    <t xml:space="preserve">New Hampshire Employment Program (NHEP) to access shared learning and network benefits with other states and counties.  Members track and share aggregate programmatic outcomes and data with the use of the Bridge, a revised front end assessment tool which captures data from clients in a holistic method.  This corresponds to the social determinants of health and direct department resources available. NHEP will be tracking performance measurements to improve our work participation rate requirement.  </t>
  </si>
  <si>
    <t xml:space="preserve">The Facilitating Organization provides coordination, support, training, and technical assistance for the implementation of operational and quality standards for all FRCs statewide in order to increase the number of FRCs receiving the Family Resource Center of Quality (FRC-Q) designation and standardize the FRC and FRC-Q delivery of services. Additional services will be organizing and administered through the Family Resource Centers, coordinated by the NHCT to expand services that 1) focus on the prevention and mitigation of, and 2) expand the Kinship Navigation program established throughout the state.  </t>
  </si>
  <si>
    <t xml:space="preserve">Transportation resources in the form on used motor vehicles, to individuals, statewide, who are currently participating, or have participated, in the Division of Economic Housing Stability, Bureau of Employment Supports, New Hampshire Employment Program (NHEP).  </t>
  </si>
  <si>
    <t xml:space="preserve">Overtime was reduced in the efficiency budget to help the Dept meet their target.  </t>
  </si>
  <si>
    <t xml:space="preserve">To support the start-up and roll-out costs of developing, implementing, monitoring and evaluating a robust QRIS in NH. Results and benefit will include increased quality of child care/early childhood programs throughout the state through professional development activities and support; quality incentives; developmentally appropriate materials and resources (including those that support school readiness); evidence-based developmental screening and assessment tools; program self-assessment, and the development of a QRIS data system that will enable NH to track quality improvement. Potential impact: Approximately 9,000 (unduplicated) children receiving child care scholarship each year, as well as other children within programs participating in the system. </t>
  </si>
  <si>
    <t xml:space="preserve">Federal mandate from 2014 CCDBG Reauthorization, which requires that families are offered 12 months of child care eligibility from the time CCDF funds are used for child care costs.  Previously, child care ended once the Protective or Preventive case closed in DCYF. Families whose Preventive or In-home Protective cases close will receive child care support to promote family transition and stability following the closure of their DCYF cases. </t>
  </si>
  <si>
    <t>The Pyramid Model is an evidence-based approach focusing on social-emotional development and school readiness of young children. These funds will support the coordination, infrastructure, guidance, and data collection implementing this approach.  The Pyramid Model provides early learning educators the necessary skills to help children develop and provide positive behavior supports and trauma induced care.</t>
  </si>
  <si>
    <t>Add $9,000,000 in general funds in each year of the biennium to the BHS budget to support homeless shelter case management services to help coordinate housing navigation, medical and behavioral health access, mainstream benefit application, employment support services, and any additional case management services the household requires to move into permanent housing, and decrease the length of time they remain homeless.  It costs $46/person/night to operate the shelters across NH. All contracted providers were surveyed to get this number. We currently pay them $8.80/person/night, and have the expectation that they will provide quality case management to overly full shelters. By adding $9 million to the shelter fund, we would be able to increase the rate for existing shelters to $20/person/night. This would allow the shelters to add staff to focus solely on the case management services. Currently (in most cases) the people managing the day-to-day operations of the shelters are the ones also doing the case management.</t>
  </si>
  <si>
    <t xml:space="preserve">Add $200,000 in each year of the biennium to the Bureau of Housing Supports budget to support Coordinated Entry efforts in NH. Funding would support additional call center staff at 211-NH who would be dedicated to taking homeless calls, completing a vulnerability assessment, and entering the data into the Homeless Management Information System. Coordinated entry is an important process through which people experiencing or at risk of experiencing homelessness can access the crisis response system in a streamlined way, have their strengths and needs quickly assessed, and quickly connect to appropriate, tailored housing and mainstream services within the community or designated region. Standardized assessment tools and practices used within local coordinated assessment processes take into account the unique needs of children and their families as well as youth. When possible, the assessment provides the ability for households to gain access to the best options to address their needs, incorporating participants’ choice, rather than being evaluated for a single program within the system. The most intensive interventions are prioritized for those with the highest needs. </t>
  </si>
  <si>
    <t>Add $200,000 in each year of the biennium to the BHS budget to support homeless street outreach for unaccompanied youth in NH. NH Currently has 1 youth outreach program through Child and Family Services. This program serves the Seacoast and Manchester, leaving much of the State of NH unserved by youth outreach.</t>
  </si>
  <si>
    <r>
      <t>Add $1,000,000 in general funds in each year of the biennium to the BHS budget for eviction prevention assistance, specifically for families with children. During SFY 19, 1,187 individuals (820 children) in 418 families were served in emergency homeless shelters in NH. An additional 3,288 individuals in families were served using prevention funds in an attempt to prevent eviction. Funding would be allocated to cover each county, and would serve those not eligible for HUD Continuum of Care Permanent Supportive Housing.</t>
    </r>
    <r>
      <rPr>
        <sz val="11"/>
        <color theme="1"/>
        <rFont val="Calibri"/>
        <family val="2"/>
        <scheme val="minor"/>
      </rPr>
      <t xml:space="preserve"> </t>
    </r>
  </si>
  <si>
    <t>Add $500,000 in general funds to the BHS budget in each year of the biennium to support an extension of the HUD funded Rapid Re-Housing program for Youth 18-24 years of age and TANF eligible families. Right now NH has a gap in services for these populations. Constituents within the continuum have voiced the need for rental subsidies for this population. At this time Bureau of Housing Supports has no dedicated general or federal funds that go towards TANF eligible families or youth aging out of foster care. These vulnerable populations are priorities for continued federal funds. NH needs to show that we can support these populations and fill the gaps in the current system to continue to provide adequate services within the state.</t>
  </si>
  <si>
    <t>BCSS (Bureau of Child Support Services) requests funds for in state and out of state travel to attend national and regional meetings on topics that are of critical importance to the work of the Bureau. As a result, the quality and compliance with Federal Child Support requirements will improve.</t>
  </si>
  <si>
    <t>DEHS - 9T positions</t>
  </si>
  <si>
    <t>Funding for 12 positions within BFA</t>
  </si>
  <si>
    <t>HB4 224/225 Department of Health and Human Services; Adult Dental Benefit. HB103/SB150 change in start date to April 2022 with a 3 month claim lag</t>
  </si>
  <si>
    <t xml:space="preserve"> H.R.34, the 21st Century Cures Act,requires all states implement an Electronic Visit Verification (EVV) system for Medicaid-funded Personal Care Services provided  in the home by January 1, 2020 and Home Health Services by January 1, 2023. The law imposes a penalty in the form of Federal Medical Assistance Percentages (FMAP) reduction for states that do not implement EVV by certain dates. Updated AU from AU8099 MMIS to AU7948 MCM as penalties will be against service costs not system costs</t>
  </si>
  <si>
    <t>Additional Rents Admin Services - FY 22 approved $2,111,463 FY 23 $2,142,641 - amts are remaining balance not approved</t>
  </si>
  <si>
    <t xml:space="preserve">EndurID Maintenance - Provides for the identification, tracking and medication of patients at NHH. </t>
  </si>
  <si>
    <t>Software essential for gathering data from state-wide health providers and labs as well as sending data to federal agencies.</t>
  </si>
  <si>
    <t>System deployed to field workers for DCYF and other staff to increase safety, allowing them to disconnect a card from their phone to trigger an alert.</t>
  </si>
  <si>
    <t xml:space="preserve">Build out new server infrastructure to host FTI compliant data remediation. </t>
  </si>
  <si>
    <t xml:space="preserve">Software DHHS uses to provide electronic signatures on contracts and other legal documents. </t>
  </si>
  <si>
    <t xml:space="preserve">Renewal of electronic faxing software licensing that is supporting Public Health, DCYF and NHH. </t>
  </si>
  <si>
    <t>Compliance findings that require remediation (IRS, SS, Security and Payment Card Standards)</t>
  </si>
  <si>
    <t>Network hardware to maintain and replace aging equipment</t>
  </si>
  <si>
    <t>New modules utilized by NHH to modernize prescribing of medications for patients being discharged, and reduce cost of providing direct medications upon discharge.</t>
  </si>
  <si>
    <t xml:space="preserve">Electronic patient medication dispensing, inventory, audit and reporting. </t>
  </si>
  <si>
    <t>Maintain and expand software required to support the current Business Intelligence Platform as well as support growing use of these reporting tools.</t>
  </si>
  <si>
    <t>Add storage to support the growth of data in the Business Intelligence Platform</t>
  </si>
  <si>
    <t xml:space="preserve">Software used by DOIT staff to remotely assist DHHS employees.  </t>
  </si>
  <si>
    <t>Vendor support for legacy servers that have reached the end of standard support.</t>
  </si>
  <si>
    <t>Software license renewal critical tool used in support of DHHS projects developing solutions for servicing citizens on the SalesForce Enterprise platform.</t>
  </si>
  <si>
    <t>Software that has been used to support the Bureau of Child Support Services system that helps automate over 50 tasks that the bureau requires to process reports, some federally mandated.</t>
  </si>
  <si>
    <t>Needed to address telecom needs, conduct site assessments of DHHS facilities and expand WiFI Capabilities.</t>
  </si>
  <si>
    <t>Additional network hardware needed to expand WiFI capabilities across DHHS.</t>
  </si>
  <si>
    <t>Software used by IT to provide a higher level of visibility into endpoints, devices and networks to enable discreet, forensically sound data collection for litigation and investigations.</t>
  </si>
  <si>
    <t xml:space="preserve">Funds needed to hire professional services for critical projects and staff augmentation.  </t>
  </si>
  <si>
    <t>Funds for consulting/professional services for NHH systems.   Funding allows for the enhancement and support changes needed by NHH to their electronic medical records system to meet legislative and hospital driven needs.</t>
  </si>
  <si>
    <t>Subscription utilized by DHHS and DOIT leadership for consulting services, technology research, as well as a resource for various templates related to business, project management, etc.  This speeds up delivery of solutions by leveraging research and practical process tools.</t>
  </si>
  <si>
    <t xml:space="preserve">Training staff supporting DHHS, with a focus on agile processes that better position DoIT to meet DHHS evolving support needs in a more flexible manner.  </t>
  </si>
  <si>
    <t>Software needed by NHH to use in preparation of documents and information for upcoming joint commission surveys.</t>
  </si>
  <si>
    <t xml:space="preserve">Administrative appeals unit manages impartial hearings and renders decisions in accordance with the requirements of NH Statutes and administrative rules, this software enables the unit to effective manage the case load and report on legal decisions.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</si>
</sst>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 x14ac:knownFonts="1">
    <font>
      <sz val="11"/>
      <color theme="1"/>
      <name val="Calibri"/>
      <family val="2"/>
      <scheme val="minor"/>
    </font>
    <font>
      <sz val="11"/>
      <color theme="1"/>
      <name val="Calibri"/>
      <family val="2"/>
      <scheme val="minor"/>
    </font>
    <font>
      <b/>
      <sz val="14"/>
      <color theme="1"/>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rgb="FF9966FF"/>
        <bgColor indexed="64"/>
      </patternFill>
    </fill>
    <fill>
      <patternFill patternType="solid">
        <fgColor rgb="FF9999FF"/>
        <bgColor indexed="64"/>
      </patternFill>
    </fill>
  </fills>
  <borders count="1">
    <border>
      <left/>
      <right/>
      <top/>
      <bottom/>
      <diagonal/>
    </border>
  </borders>
  <cellStyleXfs count="2">
    <xf numFmtId="0" fontId="0" fillId="0" borderId="0"/>
    <xf numFmtId="44" fontId="1" fillId="0" borderId="0" applyFont="0" applyFill="0" applyBorder="0" applyAlignment="0" applyProtection="0"/>
  </cellStyleXfs>
  <cellXfs count="20">
    <xf numFmtId="0" fontId="0" fillId="0" borderId="0" xfId="0"/>
    <xf numFmtId="0" fontId="0" fillId="2" borderId="0" xfId="0" applyFill="1" applyAlignment="1">
      <alignment horizontal="center" vertical="center" wrapText="1"/>
    </xf>
    <xf numFmtId="0" fontId="0" fillId="5" borderId="0" xfId="0" applyFill="1" applyAlignment="1">
      <alignment horizontal="center" vertical="center" wrapText="1"/>
    </xf>
    <xf numFmtId="0" fontId="0" fillId="0" borderId="0" xfId="0" applyAlignment="1">
      <alignment horizontal="center" vertical="center" wrapText="1"/>
    </xf>
    <xf numFmtId="44" fontId="0" fillId="3" borderId="0" xfId="1" applyFont="1" applyFill="1" applyAlignment="1">
      <alignment horizontal="center" vertical="center" wrapText="1"/>
    </xf>
    <xf numFmtId="44" fontId="0" fillId="4" borderId="0" xfId="1" applyFont="1" applyFill="1" applyAlignment="1">
      <alignment horizontal="center" vertical="center" wrapText="1"/>
    </xf>
    <xf numFmtId="44" fontId="0" fillId="7" borderId="0" xfId="1" applyFont="1" applyFill="1" applyAlignment="1">
      <alignment horizontal="center" vertical="center" wrapText="1"/>
    </xf>
    <xf numFmtId="44" fontId="0" fillId="6" borderId="0" xfId="1" applyFont="1" applyFill="1" applyAlignment="1">
      <alignment horizontal="center" vertical="center" wrapText="1"/>
    </xf>
    <xf numFmtId="44" fontId="0" fillId="0" borderId="0" xfId="1" applyFont="1"/>
    <xf numFmtId="0" fontId="0" fillId="0" borderId="0" xfId="0" applyAlignment="1">
      <alignment wrapText="1"/>
    </xf>
    <xf numFmtId="0" fontId="0" fillId="0" borderId="0" xfId="0" applyFill="1"/>
    <xf numFmtId="0" fontId="0" fillId="0" borderId="0" xfId="0" applyAlignment="1">
      <alignment horizontal="center"/>
    </xf>
    <xf numFmtId="0" fontId="0" fillId="0" borderId="0" xfId="0" applyNumberFormat="1" applyAlignment="1">
      <alignment horizontal="center"/>
    </xf>
    <xf numFmtId="0" fontId="2" fillId="0" borderId="0" xfId="0" applyFont="1" applyFill="1" applyAlignment="1">
      <alignment horizontal="left"/>
    </xf>
    <xf numFmtId="0" fontId="0" fillId="0" borderId="0" xfId="0" applyFill="1" applyAlignment="1">
      <alignment horizontal="center"/>
    </xf>
    <xf numFmtId="0" fontId="0" fillId="0" borderId="0" xfId="0" applyFill="1" applyAlignment="1">
      <alignment wrapText="1"/>
    </xf>
    <xf numFmtId="44" fontId="0" fillId="0" borderId="0" xfId="0" applyNumberFormat="1" applyFill="1"/>
    <xf numFmtId="0" fontId="0" fillId="0" borderId="0" xfId="0" applyFill="1" applyAlignment="1">
      <alignment horizontal="right"/>
    </xf>
    <xf numFmtId="3" fontId="0" fillId="0" borderId="0" xfId="0" applyNumberFormat="1"/>
    <xf numFmtId="44" fontId="0" fillId="0" borderId="0" xfId="1" applyFont="1" applyFill="1"/>
  </cellXfs>
  <cellStyles count="2">
    <cellStyle name="Currency" xfId="1" builtinId="4"/>
    <cellStyle name="Normal" xfId="0" builtinId="0"/>
  </cellStyles>
  <dxfs count="0"/>
  <tableStyles count="0" defaultTableStyle="TableStyleMedium2" defaultPivotStyle="PivotStyleLight16"/>
  <colors>
    <mruColors>
      <color rgb="FF9999FF"/>
      <color rgb="FF9966FF"/>
      <color rgb="FF66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47625</xdr:rowOff>
    </xdr:from>
    <xdr:to>
      <xdr:col>10</xdr:col>
      <xdr:colOff>447675</xdr:colOff>
      <xdr:row>7</xdr:row>
      <xdr:rowOff>104775</xdr:rowOff>
    </xdr:to>
    <xdr:sp macro="" textlink="">
      <xdr:nvSpPr>
        <xdr:cNvPr id="2" name="TextBox 1">
          <a:extLst>
            <a:ext uri="{FF2B5EF4-FFF2-40B4-BE49-F238E27FC236}">
              <a16:creationId xmlns:a16="http://schemas.microsoft.com/office/drawing/2014/main" id="{0B2C92EC-1E29-4A2C-82EE-B11E65ADDE5D}"/>
            </a:ext>
          </a:extLst>
        </xdr:cNvPr>
        <xdr:cNvSpPr txBox="1"/>
      </xdr:nvSpPr>
      <xdr:spPr>
        <a:xfrm>
          <a:off x="104775" y="47625"/>
          <a:ext cx="6438900" cy="1390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Per Kerrin Rounds, Department of Heath</a:t>
          </a:r>
          <a:r>
            <a:rPr lang="en-US" sz="1100" baseline="0"/>
            <a:t> and Human Services (DHHS) Chief Financial Officer</a:t>
          </a:r>
          <a:endParaRPr lang="en-US" sz="1100"/>
        </a:p>
        <a:p>
          <a:endParaRPr lang="en-US" sz="1100"/>
        </a:p>
        <a:p>
          <a:r>
            <a:rPr lang="en-US" sz="1100">
              <a:solidFill>
                <a:schemeClr val="dk1"/>
              </a:solidFill>
              <a:effectLst/>
              <a:latin typeface="+mn-lt"/>
              <a:ea typeface="+mn-ea"/>
              <a:cs typeface="+mn-cs"/>
            </a:rPr>
            <a:t>"These are the agency prioritized needs that were not approved during the Governor’s Phase. I think it is also important to mention that there were changes (reductions) made to the budget during the Governor’s Phase that we would also consider priorities, but those would not be reflected here. These are only the PNs [prioritized</a:t>
          </a:r>
          <a:r>
            <a:rPr lang="en-US" sz="1100" baseline="0">
              <a:solidFill>
                <a:schemeClr val="dk1"/>
              </a:solidFill>
              <a:effectLst/>
              <a:latin typeface="+mn-lt"/>
              <a:ea typeface="+mn-ea"/>
              <a:cs typeface="+mn-cs"/>
            </a:rPr>
            <a:t> needs]</a:t>
          </a:r>
          <a:r>
            <a:rPr lang="en-US" sz="1100">
              <a:solidFill>
                <a:schemeClr val="dk1"/>
              </a:solidFill>
              <a:effectLst/>
              <a:latin typeface="+mn-lt"/>
              <a:ea typeface="+mn-ea"/>
              <a:cs typeface="+mn-cs"/>
            </a:rPr>
            <a:t> submitted during the Agency Phase that were not approved. It is also important to note that these are not in any priority."</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AF6E8-2264-4096-AAFE-19D1C5831D5D}">
  <dimension ref="A1"/>
  <sheetViews>
    <sheetView tabSelected="1" workbookViewId="0">
      <selection activeCell="G31" sqref="G31"/>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22"/>
  <sheetViews>
    <sheetView zoomScale="80" zoomScaleNormal="80" workbookViewId="0">
      <pane xSplit="1" ySplit="2" topLeftCell="B3" activePane="bottomRight" state="frozen"/>
      <selection pane="topRight" activeCell="B1" sqref="B1"/>
      <selection pane="bottomLeft" activeCell="A3" sqref="A3"/>
      <selection pane="bottomRight" activeCell="C26" sqref="C26"/>
    </sheetView>
  </sheetViews>
  <sheetFormatPr defaultColWidth="15.7109375" defaultRowHeight="15" x14ac:dyDescent="0.25"/>
  <cols>
    <col min="1" max="1" width="6.28515625" style="11" customWidth="1"/>
    <col min="2" max="2" width="38.140625" style="9" customWidth="1"/>
    <col min="3" max="3" width="22.85546875" bestFit="1" customWidth="1"/>
    <col min="4" max="4" width="12.5703125" customWidth="1"/>
    <col min="5" max="5" width="20.7109375" customWidth="1"/>
    <col min="6" max="6" width="16.28515625" bestFit="1" customWidth="1"/>
    <col min="8" max="8" width="0" hidden="1" customWidth="1"/>
    <col min="10" max="12" width="16.28515625" bestFit="1" customWidth="1"/>
    <col min="13" max="13" width="0" hidden="1" customWidth="1"/>
    <col min="15" max="15" width="16.28515625" bestFit="1" customWidth="1"/>
    <col min="16" max="16" width="25.7109375" customWidth="1"/>
    <col min="17" max="17" width="96.28515625" style="9" customWidth="1"/>
  </cols>
  <sheetData>
    <row r="1" spans="1:17" s="10" customFormat="1" ht="18.75" x14ac:dyDescent="0.3">
      <c r="A1" s="13" t="s">
        <v>13</v>
      </c>
      <c r="B1" s="15"/>
      <c r="C1" s="16"/>
      <c r="E1" s="17" t="s">
        <v>143</v>
      </c>
      <c r="F1" s="16">
        <f t="shared" ref="F1:O1" si="0">SUM(F3:F118)</f>
        <v>46278858.770399988</v>
      </c>
      <c r="G1" s="16">
        <f t="shared" si="0"/>
        <v>25431413.766500004</v>
      </c>
      <c r="H1" s="16">
        <f t="shared" si="0"/>
        <v>0</v>
      </c>
      <c r="I1" s="16">
        <f t="shared" si="0"/>
        <v>367312.46310000005</v>
      </c>
      <c r="J1" s="16">
        <f t="shared" si="0"/>
        <v>72077585</v>
      </c>
      <c r="K1" s="16">
        <f t="shared" si="0"/>
        <v>39315642.2667</v>
      </c>
      <c r="L1" s="16">
        <f t="shared" si="0"/>
        <v>15391680.629400002</v>
      </c>
      <c r="M1" s="16">
        <f t="shared" si="0"/>
        <v>0</v>
      </c>
      <c r="N1" s="16">
        <f t="shared" si="0"/>
        <v>365709.10389999999</v>
      </c>
      <c r="O1" s="16">
        <f t="shared" si="0"/>
        <v>55073032</v>
      </c>
      <c r="Q1" s="15"/>
    </row>
    <row r="2" spans="1:17" s="3" customFormat="1" ht="30" x14ac:dyDescent="0.25">
      <c r="A2" s="1" t="s">
        <v>0</v>
      </c>
      <c r="B2" s="1" t="s">
        <v>12</v>
      </c>
      <c r="C2" s="1" t="s">
        <v>14</v>
      </c>
      <c r="D2" s="1" t="s">
        <v>15</v>
      </c>
      <c r="E2" s="1" t="s">
        <v>17</v>
      </c>
      <c r="F2" s="4" t="s">
        <v>1</v>
      </c>
      <c r="G2" s="4" t="s">
        <v>3</v>
      </c>
      <c r="H2" s="4" t="s">
        <v>2</v>
      </c>
      <c r="I2" s="4" t="s">
        <v>4</v>
      </c>
      <c r="J2" s="5" t="s">
        <v>5</v>
      </c>
      <c r="K2" s="6" t="s">
        <v>6</v>
      </c>
      <c r="L2" s="6" t="s">
        <v>7</v>
      </c>
      <c r="M2" s="6" t="s">
        <v>8</v>
      </c>
      <c r="N2" s="6" t="s">
        <v>10</v>
      </c>
      <c r="O2" s="7" t="s">
        <v>9</v>
      </c>
      <c r="P2" s="2" t="s">
        <v>11</v>
      </c>
      <c r="Q2" s="2" t="s">
        <v>16</v>
      </c>
    </row>
    <row r="3" spans="1:17" ht="15" customHeight="1" x14ac:dyDescent="0.25">
      <c r="A3" s="12">
        <v>42</v>
      </c>
      <c r="B3" s="9" t="s">
        <v>18</v>
      </c>
      <c r="C3" t="s">
        <v>109</v>
      </c>
      <c r="D3">
        <v>29770000</v>
      </c>
      <c r="F3" s="8">
        <v>1500000</v>
      </c>
      <c r="G3" s="8">
        <v>0</v>
      </c>
      <c r="H3" s="8">
        <v>0</v>
      </c>
      <c r="I3" s="8">
        <v>0</v>
      </c>
      <c r="J3" s="8">
        <f>SUM(F3:I3)</f>
        <v>1500000</v>
      </c>
      <c r="K3" s="8">
        <v>1500000</v>
      </c>
      <c r="L3" s="8">
        <v>0</v>
      </c>
      <c r="M3" s="8">
        <v>0</v>
      </c>
      <c r="N3" s="8">
        <v>0</v>
      </c>
      <c r="O3" s="8">
        <f>SUM(K3:N3)</f>
        <v>1500000</v>
      </c>
      <c r="Q3" s="9" t="s">
        <v>159</v>
      </c>
    </row>
    <row r="4" spans="1:17" ht="15" customHeight="1" x14ac:dyDescent="0.25">
      <c r="A4" s="12">
        <v>42</v>
      </c>
      <c r="B4" s="9" t="s">
        <v>19</v>
      </c>
      <c r="C4" t="s">
        <v>109</v>
      </c>
      <c r="D4">
        <v>29780000</v>
      </c>
      <c r="F4" s="8">
        <v>1000000</v>
      </c>
      <c r="G4" s="8">
        <v>0</v>
      </c>
      <c r="H4" s="8">
        <v>0</v>
      </c>
      <c r="I4" s="8">
        <v>0</v>
      </c>
      <c r="J4" s="8">
        <f t="shared" ref="J4:J51" si="1">SUM(F4:I4)</f>
        <v>1000000</v>
      </c>
      <c r="K4" s="8">
        <v>1000000</v>
      </c>
      <c r="L4" s="8">
        <v>0</v>
      </c>
      <c r="M4" s="8">
        <v>0</v>
      </c>
      <c r="N4" s="8">
        <v>0</v>
      </c>
      <c r="O4" s="8">
        <f t="shared" ref="O4:O51" si="2">SUM(K4:N4)</f>
        <v>1000000</v>
      </c>
      <c r="Q4" s="9" t="s">
        <v>158</v>
      </c>
    </row>
    <row r="5" spans="1:17" ht="15" customHeight="1" x14ac:dyDescent="0.25">
      <c r="A5" s="12">
        <v>42</v>
      </c>
      <c r="B5" s="9" t="s">
        <v>20</v>
      </c>
      <c r="C5" t="s">
        <v>109</v>
      </c>
      <c r="D5">
        <v>29780000</v>
      </c>
      <c r="F5" s="8">
        <v>85000</v>
      </c>
      <c r="G5" s="8">
        <v>0</v>
      </c>
      <c r="H5" s="8">
        <v>0</v>
      </c>
      <c r="I5" s="8">
        <v>0</v>
      </c>
      <c r="J5" s="8">
        <f t="shared" si="1"/>
        <v>85000</v>
      </c>
      <c r="K5" s="8">
        <v>85000</v>
      </c>
      <c r="L5" s="8">
        <v>0</v>
      </c>
      <c r="M5" s="8">
        <v>0</v>
      </c>
      <c r="N5" s="8">
        <v>0</v>
      </c>
      <c r="O5" s="8">
        <f t="shared" si="2"/>
        <v>85000</v>
      </c>
      <c r="Q5" s="9" t="s">
        <v>160</v>
      </c>
    </row>
    <row r="6" spans="1:17" ht="15" customHeight="1" x14ac:dyDescent="0.25">
      <c r="A6" s="12">
        <v>42</v>
      </c>
      <c r="B6" s="9" t="s">
        <v>21</v>
      </c>
      <c r="C6" t="s">
        <v>110</v>
      </c>
      <c r="D6">
        <v>79140000</v>
      </c>
      <c r="F6" s="8">
        <v>582700</v>
      </c>
      <c r="G6" s="8">
        <v>0</v>
      </c>
      <c r="H6" s="8"/>
      <c r="I6" s="8"/>
      <c r="J6" s="8">
        <f t="shared" si="1"/>
        <v>582700</v>
      </c>
      <c r="K6" s="8">
        <v>582700</v>
      </c>
      <c r="L6" s="8"/>
      <c r="M6" s="8"/>
      <c r="N6" s="8"/>
      <c r="O6" s="8">
        <f t="shared" si="2"/>
        <v>582700</v>
      </c>
      <c r="Q6" s="9" t="s">
        <v>151</v>
      </c>
    </row>
    <row r="7" spans="1:17" ht="15" customHeight="1" x14ac:dyDescent="0.25">
      <c r="A7" s="12">
        <v>42</v>
      </c>
      <c r="B7" s="9" t="s">
        <v>23</v>
      </c>
      <c r="C7" t="s">
        <v>110</v>
      </c>
      <c r="D7">
        <v>79140000</v>
      </c>
      <c r="F7" s="8">
        <v>425000</v>
      </c>
      <c r="G7" s="8">
        <v>0</v>
      </c>
      <c r="H7" s="8"/>
      <c r="I7" s="8"/>
      <c r="J7" s="8">
        <f t="shared" si="1"/>
        <v>425000</v>
      </c>
      <c r="K7" s="8">
        <v>0</v>
      </c>
      <c r="L7" s="8">
        <v>0</v>
      </c>
      <c r="M7" s="8"/>
      <c r="N7" s="8"/>
      <c r="O7" s="8">
        <f t="shared" si="2"/>
        <v>0</v>
      </c>
      <c r="Q7" s="9" t="s">
        <v>152</v>
      </c>
    </row>
    <row r="8" spans="1:17" ht="15" customHeight="1" x14ac:dyDescent="0.25">
      <c r="A8" s="12">
        <v>42</v>
      </c>
      <c r="B8" s="9" t="s">
        <v>24</v>
      </c>
      <c r="C8" t="s">
        <v>115</v>
      </c>
      <c r="D8">
        <v>79270000</v>
      </c>
      <c r="F8" s="8">
        <v>9000000</v>
      </c>
      <c r="G8" s="8">
        <v>0</v>
      </c>
      <c r="H8" s="8">
        <v>0</v>
      </c>
      <c r="I8" s="8">
        <v>0</v>
      </c>
      <c r="J8" s="8">
        <f t="shared" si="1"/>
        <v>9000000</v>
      </c>
      <c r="K8" s="8">
        <v>9000000</v>
      </c>
      <c r="L8" s="8">
        <v>0</v>
      </c>
      <c r="M8" s="8">
        <v>0</v>
      </c>
      <c r="N8" s="8">
        <v>0</v>
      </c>
      <c r="O8" s="8">
        <f t="shared" si="2"/>
        <v>9000000</v>
      </c>
      <c r="Q8" s="9" t="s">
        <v>161</v>
      </c>
    </row>
    <row r="9" spans="1:17" ht="15" customHeight="1" x14ac:dyDescent="0.25">
      <c r="A9" s="12">
        <v>42</v>
      </c>
      <c r="B9" s="9" t="s">
        <v>114</v>
      </c>
      <c r="C9" t="s">
        <v>115</v>
      </c>
      <c r="D9">
        <v>79270000</v>
      </c>
      <c r="F9" s="8">
        <v>200000</v>
      </c>
      <c r="G9" s="8"/>
      <c r="H9" s="8"/>
      <c r="I9" s="8"/>
      <c r="J9" s="8">
        <f t="shared" si="1"/>
        <v>200000</v>
      </c>
      <c r="K9" s="8">
        <v>200000</v>
      </c>
      <c r="L9" s="8"/>
      <c r="M9" s="8"/>
      <c r="N9" s="8"/>
      <c r="O9" s="8">
        <f t="shared" si="2"/>
        <v>200000</v>
      </c>
      <c r="Q9" s="9" t="s">
        <v>162</v>
      </c>
    </row>
    <row r="10" spans="1:17" ht="15" customHeight="1" x14ac:dyDescent="0.25">
      <c r="A10" s="12">
        <v>42</v>
      </c>
      <c r="B10" s="9" t="s">
        <v>113</v>
      </c>
      <c r="C10" t="s">
        <v>115</v>
      </c>
      <c r="D10">
        <v>79270000</v>
      </c>
      <c r="F10" s="8">
        <v>200000</v>
      </c>
      <c r="G10" s="8"/>
      <c r="H10" s="8"/>
      <c r="I10" s="8"/>
      <c r="J10" s="8">
        <f t="shared" si="1"/>
        <v>200000</v>
      </c>
      <c r="K10" s="8">
        <v>200000</v>
      </c>
      <c r="L10" s="8"/>
      <c r="M10" s="8"/>
      <c r="N10" s="8"/>
      <c r="O10" s="8">
        <f t="shared" si="2"/>
        <v>200000</v>
      </c>
      <c r="Q10" s="9" t="s">
        <v>163</v>
      </c>
    </row>
    <row r="11" spans="1:17" ht="15" customHeight="1" x14ac:dyDescent="0.25">
      <c r="A11" s="12">
        <v>42</v>
      </c>
      <c r="B11" s="9" t="s">
        <v>112</v>
      </c>
      <c r="C11" t="s">
        <v>115</v>
      </c>
      <c r="D11">
        <v>79270000</v>
      </c>
      <c r="F11" s="8">
        <v>500000</v>
      </c>
      <c r="G11" s="8"/>
      <c r="H11" s="8"/>
      <c r="I11" s="8"/>
      <c r="J11" s="8">
        <f t="shared" si="1"/>
        <v>500000</v>
      </c>
      <c r="K11" s="8">
        <v>500000</v>
      </c>
      <c r="L11" s="8"/>
      <c r="M11" s="8"/>
      <c r="N11" s="8"/>
      <c r="O11" s="8">
        <f t="shared" si="2"/>
        <v>500000</v>
      </c>
      <c r="Q11" s="9" t="s">
        <v>165</v>
      </c>
    </row>
    <row r="12" spans="1:17" ht="15" customHeight="1" x14ac:dyDescent="0.25">
      <c r="A12" s="12">
        <v>42</v>
      </c>
      <c r="B12" s="9" t="s">
        <v>111</v>
      </c>
      <c r="C12" t="s">
        <v>115</v>
      </c>
      <c r="D12">
        <v>79270000</v>
      </c>
      <c r="F12" s="8">
        <v>1000000</v>
      </c>
      <c r="G12" s="8"/>
      <c r="H12" s="8"/>
      <c r="I12" s="8"/>
      <c r="J12" s="8">
        <f t="shared" si="1"/>
        <v>1000000</v>
      </c>
      <c r="K12" s="8">
        <v>1000000</v>
      </c>
      <c r="L12" s="8"/>
      <c r="M12" s="8"/>
      <c r="N12" s="8"/>
      <c r="O12" s="8">
        <f t="shared" si="2"/>
        <v>1000000</v>
      </c>
      <c r="Q12" s="9" t="s">
        <v>164</v>
      </c>
    </row>
    <row r="13" spans="1:17" ht="15" customHeight="1" x14ac:dyDescent="0.25">
      <c r="A13" s="12">
        <v>42</v>
      </c>
      <c r="B13" s="9" t="s">
        <v>25</v>
      </c>
      <c r="C13" t="s">
        <v>116</v>
      </c>
      <c r="D13">
        <v>79290000</v>
      </c>
      <c r="F13" s="8">
        <v>5525</v>
      </c>
      <c r="G13" s="8">
        <v>10725</v>
      </c>
      <c r="H13" s="8">
        <v>0</v>
      </c>
      <c r="I13" s="8">
        <v>0</v>
      </c>
      <c r="J13" s="8">
        <f t="shared" si="1"/>
        <v>16250</v>
      </c>
      <c r="K13" s="8">
        <v>5525</v>
      </c>
      <c r="L13" s="8">
        <v>10725</v>
      </c>
      <c r="M13" s="8">
        <v>0</v>
      </c>
      <c r="N13" s="8">
        <v>0</v>
      </c>
      <c r="O13" s="8">
        <f t="shared" si="2"/>
        <v>16250</v>
      </c>
      <c r="Q13" s="9" t="s">
        <v>166</v>
      </c>
    </row>
    <row r="14" spans="1:17" ht="15" customHeight="1" x14ac:dyDescent="0.25">
      <c r="A14" s="12">
        <v>42</v>
      </c>
      <c r="B14" s="9" t="s">
        <v>26</v>
      </c>
      <c r="C14" t="s">
        <v>116</v>
      </c>
      <c r="D14">
        <v>79290000</v>
      </c>
      <c r="F14" s="8">
        <v>850</v>
      </c>
      <c r="G14" s="8">
        <v>1650</v>
      </c>
      <c r="H14" s="8">
        <v>0</v>
      </c>
      <c r="I14" s="8">
        <v>0</v>
      </c>
      <c r="J14" s="8">
        <f t="shared" si="1"/>
        <v>2500</v>
      </c>
      <c r="K14" s="8">
        <v>850</v>
      </c>
      <c r="L14" s="8">
        <v>1650</v>
      </c>
      <c r="M14" s="8">
        <v>0</v>
      </c>
      <c r="N14" s="8">
        <v>0</v>
      </c>
      <c r="O14" s="8">
        <f t="shared" si="2"/>
        <v>2500</v>
      </c>
      <c r="Q14" s="9" t="s">
        <v>166</v>
      </c>
    </row>
    <row r="15" spans="1:17" ht="45" x14ac:dyDescent="0.25">
      <c r="A15" s="12">
        <v>45</v>
      </c>
      <c r="B15" s="9" t="s">
        <v>27</v>
      </c>
      <c r="C15" t="s">
        <v>117</v>
      </c>
      <c r="D15">
        <v>61270000</v>
      </c>
      <c r="F15" s="8">
        <v>435000</v>
      </c>
      <c r="G15" s="8">
        <v>315000</v>
      </c>
      <c r="H15" s="8"/>
      <c r="I15" s="8"/>
      <c r="J15" s="8">
        <f t="shared" si="1"/>
        <v>750000</v>
      </c>
      <c r="K15" s="8">
        <v>435000</v>
      </c>
      <c r="L15" s="8">
        <v>315000</v>
      </c>
      <c r="M15" s="8"/>
      <c r="N15" s="8"/>
      <c r="O15" s="8">
        <f t="shared" si="2"/>
        <v>750000</v>
      </c>
      <c r="Q15" s="9" t="s">
        <v>156</v>
      </c>
    </row>
    <row r="16" spans="1:17" ht="90" x14ac:dyDescent="0.25">
      <c r="A16" s="12">
        <v>45</v>
      </c>
      <c r="B16" s="9" t="s">
        <v>28</v>
      </c>
      <c r="C16" t="s">
        <v>117</v>
      </c>
      <c r="D16">
        <v>72160000</v>
      </c>
      <c r="F16" s="8">
        <v>325000</v>
      </c>
      <c r="G16" s="8">
        <v>0</v>
      </c>
      <c r="H16" s="8"/>
      <c r="I16" s="8"/>
      <c r="J16" s="8">
        <f t="shared" si="1"/>
        <v>325000</v>
      </c>
      <c r="K16" s="8">
        <v>325000</v>
      </c>
      <c r="L16" s="8">
        <v>0</v>
      </c>
      <c r="M16" s="8"/>
      <c r="N16" s="8"/>
      <c r="O16" s="8">
        <f t="shared" si="2"/>
        <v>325000</v>
      </c>
      <c r="Q16" s="9" t="s">
        <v>155</v>
      </c>
    </row>
    <row r="17" spans="1:17" ht="75" x14ac:dyDescent="0.25">
      <c r="A17" s="12">
        <v>45</v>
      </c>
      <c r="B17" s="9" t="s">
        <v>29</v>
      </c>
      <c r="C17" t="s">
        <v>117</v>
      </c>
      <c r="D17">
        <v>61270000</v>
      </c>
      <c r="F17" s="8">
        <v>1000</v>
      </c>
      <c r="G17" s="8">
        <v>1500</v>
      </c>
      <c r="H17" s="8"/>
      <c r="I17" s="8"/>
      <c r="J17" s="8">
        <f t="shared" si="1"/>
        <v>2500</v>
      </c>
      <c r="K17" s="8">
        <v>1000</v>
      </c>
      <c r="L17" s="8">
        <v>1500</v>
      </c>
      <c r="M17" s="8"/>
      <c r="N17" s="8"/>
      <c r="O17" s="8">
        <f t="shared" si="2"/>
        <v>2500</v>
      </c>
      <c r="Q17" s="9" t="s">
        <v>154</v>
      </c>
    </row>
    <row r="18" spans="1:17" x14ac:dyDescent="0.25">
      <c r="A18" s="12">
        <v>45</v>
      </c>
      <c r="B18" s="9" t="s">
        <v>30</v>
      </c>
      <c r="C18" t="s">
        <v>117</v>
      </c>
      <c r="D18">
        <v>61460000</v>
      </c>
      <c r="F18" s="8">
        <v>800000</v>
      </c>
      <c r="G18" s="8"/>
      <c r="H18" s="8"/>
      <c r="I18" s="8"/>
      <c r="J18" s="8">
        <f t="shared" si="1"/>
        <v>800000</v>
      </c>
      <c r="K18" s="8">
        <v>1</v>
      </c>
      <c r="L18" s="8"/>
      <c r="M18" s="8"/>
      <c r="N18" s="8"/>
      <c r="O18" s="8">
        <f t="shared" si="2"/>
        <v>1</v>
      </c>
      <c r="Q18" s="9" t="s">
        <v>153</v>
      </c>
    </row>
    <row r="19" spans="1:17" x14ac:dyDescent="0.25">
      <c r="A19" s="12">
        <v>45</v>
      </c>
      <c r="B19" s="9" t="s">
        <v>31</v>
      </c>
      <c r="C19" t="s">
        <v>118</v>
      </c>
      <c r="D19">
        <v>79930000</v>
      </c>
      <c r="F19" s="8">
        <f>50000*42.91%</f>
        <v>21455</v>
      </c>
      <c r="G19" s="8">
        <f>50000*57.09%</f>
        <v>28545.000000000004</v>
      </c>
      <c r="H19" s="8">
        <v>0</v>
      </c>
      <c r="I19" s="8">
        <v>0</v>
      </c>
      <c r="J19" s="8">
        <f t="shared" si="1"/>
        <v>50000</v>
      </c>
      <c r="K19" s="8">
        <v>21455</v>
      </c>
      <c r="L19" s="8">
        <v>28545.000000000004</v>
      </c>
      <c r="M19" s="8"/>
      <c r="N19" s="8">
        <v>0</v>
      </c>
      <c r="O19" s="8">
        <f t="shared" si="2"/>
        <v>50000</v>
      </c>
      <c r="Q19" s="9" t="s">
        <v>157</v>
      </c>
    </row>
    <row r="20" spans="1:17" x14ac:dyDescent="0.25">
      <c r="A20" s="12">
        <v>45</v>
      </c>
      <c r="B20" s="9" t="s">
        <v>167</v>
      </c>
      <c r="C20" t="s">
        <v>118</v>
      </c>
      <c r="D20">
        <v>79930000</v>
      </c>
      <c r="F20" s="8">
        <f>357051-F18</f>
        <v>-442949</v>
      </c>
      <c r="G20" s="8">
        <f>455938-G18</f>
        <v>455938</v>
      </c>
      <c r="H20" s="8"/>
      <c r="I20" s="8"/>
      <c r="J20" s="8">
        <f t="shared" si="1"/>
        <v>12989</v>
      </c>
      <c r="K20" s="8">
        <f>380215-K18</f>
        <v>380214</v>
      </c>
      <c r="L20" s="8">
        <f>485388-L18</f>
        <v>485388</v>
      </c>
      <c r="M20" s="8"/>
      <c r="N20" s="8"/>
      <c r="O20" s="8">
        <f t="shared" si="2"/>
        <v>865602</v>
      </c>
      <c r="Q20" s="9" t="s">
        <v>168</v>
      </c>
    </row>
    <row r="21" spans="1:17" ht="30" x14ac:dyDescent="0.25">
      <c r="A21" s="12">
        <v>47</v>
      </c>
      <c r="B21" s="9" t="s">
        <v>119</v>
      </c>
      <c r="C21" t="s">
        <v>32</v>
      </c>
      <c r="D21">
        <v>79390000</v>
      </c>
      <c r="E21">
        <v>74</v>
      </c>
      <c r="F21" s="8">
        <v>2090248</v>
      </c>
      <c r="G21" s="8">
        <v>0</v>
      </c>
      <c r="H21" s="8">
        <v>0</v>
      </c>
      <c r="I21" s="8">
        <v>0</v>
      </c>
      <c r="J21" s="8">
        <f t="shared" si="1"/>
        <v>2090248</v>
      </c>
      <c r="K21" s="8">
        <v>3538755</v>
      </c>
      <c r="L21" s="8"/>
      <c r="M21" s="8"/>
      <c r="N21" s="8"/>
      <c r="O21" s="8">
        <f t="shared" si="2"/>
        <v>3538755</v>
      </c>
      <c r="Q21" s="9" t="s">
        <v>33</v>
      </c>
    </row>
    <row r="22" spans="1:17" ht="30.75" customHeight="1" x14ac:dyDescent="0.25">
      <c r="A22" s="12">
        <v>47</v>
      </c>
      <c r="B22" s="9" t="s">
        <v>120</v>
      </c>
      <c r="C22" t="s">
        <v>32</v>
      </c>
      <c r="D22">
        <v>79480000</v>
      </c>
      <c r="E22">
        <v>75</v>
      </c>
      <c r="F22" s="8">
        <v>0</v>
      </c>
      <c r="G22" s="8">
        <v>0</v>
      </c>
      <c r="H22" s="8"/>
      <c r="I22" s="8"/>
      <c r="J22" s="8">
        <f t="shared" si="1"/>
        <v>0</v>
      </c>
      <c r="K22" s="8">
        <v>5840000</v>
      </c>
      <c r="L22" s="8">
        <f>5840000+5840</f>
        <v>5845840</v>
      </c>
      <c r="M22" s="8"/>
      <c r="N22" s="8"/>
      <c r="O22" s="8">
        <f t="shared" si="2"/>
        <v>11685840</v>
      </c>
      <c r="Q22" s="9" t="s">
        <v>169</v>
      </c>
    </row>
    <row r="23" spans="1:17" ht="16.5" customHeight="1" x14ac:dyDescent="0.25">
      <c r="A23" s="12">
        <v>47</v>
      </c>
      <c r="B23" s="9" t="s">
        <v>121</v>
      </c>
      <c r="C23" t="s">
        <v>32</v>
      </c>
      <c r="D23">
        <v>79480000</v>
      </c>
      <c r="E23">
        <v>76</v>
      </c>
      <c r="F23" s="8">
        <v>5370384</v>
      </c>
      <c r="G23" s="8">
        <f>5370384+5370</f>
        <v>5375754</v>
      </c>
      <c r="H23" s="8"/>
      <c r="I23" s="8"/>
      <c r="J23" s="8">
        <f t="shared" si="1"/>
        <v>10746138</v>
      </c>
      <c r="K23" s="8">
        <v>5370384</v>
      </c>
      <c r="L23" s="8">
        <f>5370384+5370</f>
        <v>5375754</v>
      </c>
      <c r="M23" s="8"/>
      <c r="N23" s="8"/>
      <c r="O23" s="8">
        <f t="shared" si="2"/>
        <v>10746138</v>
      </c>
      <c r="Q23" s="9" t="s">
        <v>34</v>
      </c>
    </row>
    <row r="24" spans="1:17" ht="32.25" customHeight="1" x14ac:dyDescent="0.25">
      <c r="A24" s="12">
        <v>47</v>
      </c>
      <c r="B24" s="9" t="s">
        <v>122</v>
      </c>
      <c r="C24" t="s">
        <v>32</v>
      </c>
      <c r="D24">
        <v>79480000</v>
      </c>
      <c r="E24">
        <v>77</v>
      </c>
      <c r="F24" s="8">
        <f>1545705</f>
        <v>1545705</v>
      </c>
      <c r="G24" s="8">
        <f>1545705+1545</f>
        <v>1547250</v>
      </c>
      <c r="H24" s="8"/>
      <c r="I24" s="8"/>
      <c r="J24" s="8">
        <f t="shared" si="1"/>
        <v>3092955</v>
      </c>
      <c r="K24" s="8">
        <f>3091410/2</f>
        <v>1545705</v>
      </c>
      <c r="L24" s="8">
        <f>1545705+1545</f>
        <v>1547250</v>
      </c>
      <c r="M24" s="8"/>
      <c r="N24" s="8"/>
      <c r="O24" s="8">
        <f t="shared" si="2"/>
        <v>3092955</v>
      </c>
      <c r="Q24" s="9" t="s">
        <v>35</v>
      </c>
    </row>
    <row r="25" spans="1:17" ht="16.5" customHeight="1" x14ac:dyDescent="0.25">
      <c r="A25" s="12">
        <v>47</v>
      </c>
      <c r="B25" s="9" t="s">
        <v>123</v>
      </c>
      <c r="C25" t="s">
        <v>32</v>
      </c>
      <c r="D25">
        <v>79480000</v>
      </c>
      <c r="E25">
        <v>78</v>
      </c>
      <c r="F25" s="8">
        <v>602148</v>
      </c>
      <c r="G25" s="8">
        <f>602148+602</f>
        <v>602750</v>
      </c>
      <c r="H25" s="8"/>
      <c r="I25" s="8"/>
      <c r="J25" s="8">
        <f t="shared" si="1"/>
        <v>1204898</v>
      </c>
      <c r="K25" s="8">
        <v>602148</v>
      </c>
      <c r="L25" s="8">
        <f>602148+602</f>
        <v>602750</v>
      </c>
      <c r="M25" s="8"/>
      <c r="N25" s="8"/>
      <c r="O25" s="8">
        <f t="shared" si="2"/>
        <v>1204898</v>
      </c>
      <c r="Q25" s="9" t="s">
        <v>36</v>
      </c>
    </row>
    <row r="26" spans="1:17" ht="45" x14ac:dyDescent="0.25">
      <c r="A26" s="12">
        <v>47</v>
      </c>
      <c r="B26" s="9" t="s">
        <v>124</v>
      </c>
      <c r="C26" t="s">
        <v>32</v>
      </c>
      <c r="D26">
        <v>70510000</v>
      </c>
      <c r="E26">
        <v>81</v>
      </c>
      <c r="F26" s="8">
        <v>941471</v>
      </c>
      <c r="G26" s="8">
        <f>1748446+1748</f>
        <v>1750194</v>
      </c>
      <c r="H26" s="8"/>
      <c r="I26" s="8"/>
      <c r="J26" s="8">
        <f t="shared" si="1"/>
        <v>2691665</v>
      </c>
      <c r="K26" s="8">
        <v>0</v>
      </c>
      <c r="L26" s="8">
        <v>0</v>
      </c>
      <c r="M26" s="8"/>
      <c r="N26" s="8"/>
      <c r="O26" s="8">
        <f t="shared" si="2"/>
        <v>0</v>
      </c>
      <c r="Q26" s="9" t="s">
        <v>37</v>
      </c>
    </row>
    <row r="27" spans="1:17" ht="45" x14ac:dyDescent="0.25">
      <c r="A27" s="12">
        <v>47</v>
      </c>
      <c r="B27" s="9" t="s">
        <v>124</v>
      </c>
      <c r="C27" t="s">
        <v>32</v>
      </c>
      <c r="D27">
        <v>79480000</v>
      </c>
      <c r="E27">
        <v>82</v>
      </c>
      <c r="F27" s="8">
        <v>12931230</v>
      </c>
      <c r="G27" s="8">
        <f>13459036+13459</f>
        <v>13472495</v>
      </c>
      <c r="H27" s="8"/>
      <c r="I27" s="8"/>
      <c r="J27" s="8">
        <f t="shared" si="1"/>
        <v>26403725</v>
      </c>
      <c r="K27" s="8">
        <v>0</v>
      </c>
      <c r="L27" s="8">
        <v>0</v>
      </c>
      <c r="M27" s="8"/>
      <c r="N27" s="8"/>
      <c r="O27" s="8">
        <f t="shared" si="2"/>
        <v>0</v>
      </c>
      <c r="Q27" s="9" t="s">
        <v>37</v>
      </c>
    </row>
    <row r="28" spans="1:17" ht="16.5" customHeight="1" x14ac:dyDescent="0.25">
      <c r="A28" s="12">
        <v>47</v>
      </c>
      <c r="B28" s="9" t="s">
        <v>125</v>
      </c>
      <c r="C28" t="s">
        <v>32</v>
      </c>
      <c r="D28">
        <v>79480000</v>
      </c>
      <c r="E28">
        <v>73</v>
      </c>
      <c r="F28" s="8">
        <v>519691</v>
      </c>
      <c r="G28" s="8"/>
      <c r="H28" s="8"/>
      <c r="I28" s="8"/>
      <c r="J28" s="8">
        <f t="shared" si="1"/>
        <v>519691</v>
      </c>
      <c r="K28" s="8">
        <f>1039382</f>
        <v>1039382</v>
      </c>
      <c r="L28" s="8"/>
      <c r="M28" s="8"/>
      <c r="N28" s="8"/>
      <c r="O28" s="8">
        <f t="shared" si="2"/>
        <v>1039382</v>
      </c>
      <c r="Q28" s="9" t="s">
        <v>170</v>
      </c>
    </row>
    <row r="29" spans="1:17" ht="15.75" customHeight="1" x14ac:dyDescent="0.25">
      <c r="A29" s="11">
        <v>90</v>
      </c>
      <c r="B29" s="9" t="s">
        <v>38</v>
      </c>
      <c r="C29" t="s">
        <v>39</v>
      </c>
      <c r="D29">
        <v>5110</v>
      </c>
      <c r="E29" t="s">
        <v>126</v>
      </c>
      <c r="F29" s="8">
        <v>164529</v>
      </c>
      <c r="G29" s="8"/>
      <c r="H29" s="8"/>
      <c r="I29" s="8"/>
      <c r="J29" s="8">
        <f t="shared" si="1"/>
        <v>164529</v>
      </c>
      <c r="K29" s="8">
        <v>116087</v>
      </c>
      <c r="L29" s="8"/>
      <c r="M29" s="8"/>
      <c r="N29" s="8"/>
      <c r="O29" s="8">
        <f t="shared" si="2"/>
        <v>116087</v>
      </c>
      <c r="Q29" s="9" t="s">
        <v>40</v>
      </c>
    </row>
    <row r="30" spans="1:17" ht="15.75" customHeight="1" x14ac:dyDescent="0.25">
      <c r="A30" s="11">
        <v>90</v>
      </c>
      <c r="B30" s="9" t="s">
        <v>41</v>
      </c>
      <c r="C30" t="s">
        <v>42</v>
      </c>
      <c r="D30">
        <v>7047</v>
      </c>
      <c r="E30" t="s">
        <v>127</v>
      </c>
      <c r="F30" s="8">
        <v>200000</v>
      </c>
      <c r="G30" s="8"/>
      <c r="H30" s="8"/>
      <c r="I30" s="8"/>
      <c r="J30" s="8">
        <f t="shared" si="1"/>
        <v>200000</v>
      </c>
      <c r="K30" s="8">
        <v>600000</v>
      </c>
      <c r="L30" s="8"/>
      <c r="M30" s="8"/>
      <c r="N30" s="8"/>
      <c r="O30" s="8">
        <f t="shared" si="2"/>
        <v>600000</v>
      </c>
      <c r="Q30" s="9" t="s">
        <v>43</v>
      </c>
    </row>
    <row r="31" spans="1:17" ht="15.75" customHeight="1" x14ac:dyDescent="0.25">
      <c r="A31" s="11">
        <v>90</v>
      </c>
      <c r="B31" s="9" t="s">
        <v>44</v>
      </c>
      <c r="C31" t="s">
        <v>42</v>
      </c>
      <c r="D31">
        <v>7047</v>
      </c>
      <c r="E31" t="s">
        <v>128</v>
      </c>
      <c r="F31" s="8">
        <v>200000</v>
      </c>
      <c r="G31" s="8"/>
      <c r="H31" s="8"/>
      <c r="I31" s="8"/>
      <c r="J31" s="8">
        <f t="shared" si="1"/>
        <v>200000</v>
      </c>
      <c r="K31" s="8">
        <v>200000</v>
      </c>
      <c r="L31" s="8"/>
      <c r="M31" s="8"/>
      <c r="N31" s="8"/>
      <c r="O31" s="8">
        <f t="shared" si="2"/>
        <v>200000</v>
      </c>
      <c r="Q31" s="9" t="s">
        <v>45</v>
      </c>
    </row>
    <row r="32" spans="1:17" ht="15.75" customHeight="1" x14ac:dyDescent="0.25">
      <c r="A32" s="11">
        <v>90</v>
      </c>
      <c r="B32" s="9" t="s">
        <v>46</v>
      </c>
      <c r="C32" t="s">
        <v>42</v>
      </c>
      <c r="D32">
        <v>7047</v>
      </c>
      <c r="E32" t="s">
        <v>129</v>
      </c>
      <c r="F32" s="8">
        <v>100000</v>
      </c>
      <c r="G32" s="8"/>
      <c r="H32" s="8"/>
      <c r="I32" s="8"/>
      <c r="J32" s="8">
        <f t="shared" si="1"/>
        <v>100000</v>
      </c>
      <c r="K32" s="8">
        <v>100000</v>
      </c>
      <c r="L32" s="8"/>
      <c r="M32" s="8"/>
      <c r="N32" s="8"/>
      <c r="O32" s="8">
        <f t="shared" si="2"/>
        <v>100000</v>
      </c>
      <c r="Q32" s="9" t="s">
        <v>47</v>
      </c>
    </row>
    <row r="33" spans="1:17" ht="15.75" customHeight="1" x14ac:dyDescent="0.25">
      <c r="A33" s="11">
        <v>90</v>
      </c>
      <c r="B33" s="9" t="s">
        <v>48</v>
      </c>
      <c r="C33" t="s">
        <v>42</v>
      </c>
      <c r="D33">
        <v>7047</v>
      </c>
      <c r="E33" t="s">
        <v>130</v>
      </c>
      <c r="F33" s="8">
        <v>100000</v>
      </c>
      <c r="G33" s="8"/>
      <c r="H33" s="8"/>
      <c r="I33" s="8"/>
      <c r="J33" s="8">
        <f t="shared" si="1"/>
        <v>100000</v>
      </c>
      <c r="K33" s="8">
        <v>100000</v>
      </c>
      <c r="L33" s="8"/>
      <c r="M33" s="8"/>
      <c r="N33" s="8"/>
      <c r="O33" s="8">
        <f t="shared" si="2"/>
        <v>100000</v>
      </c>
      <c r="Q33" s="9" t="s">
        <v>49</v>
      </c>
    </row>
    <row r="34" spans="1:17" ht="15.75" customHeight="1" x14ac:dyDescent="0.25">
      <c r="A34" s="11">
        <v>90</v>
      </c>
      <c r="B34" s="9" t="s">
        <v>50</v>
      </c>
      <c r="C34" t="s">
        <v>42</v>
      </c>
      <c r="D34">
        <v>5896</v>
      </c>
      <c r="E34" t="s">
        <v>131</v>
      </c>
      <c r="F34" s="8">
        <v>237758</v>
      </c>
      <c r="G34" s="8"/>
      <c r="H34" s="8"/>
      <c r="I34" s="8"/>
      <c r="J34" s="8">
        <f t="shared" si="1"/>
        <v>237758</v>
      </c>
      <c r="K34" s="8">
        <v>237758</v>
      </c>
      <c r="L34" s="8"/>
      <c r="M34" s="8"/>
      <c r="N34" s="8"/>
      <c r="O34" s="8">
        <f t="shared" si="2"/>
        <v>237758</v>
      </c>
      <c r="Q34" s="9" t="s">
        <v>51</v>
      </c>
    </row>
    <row r="35" spans="1:17" ht="15.75" customHeight="1" x14ac:dyDescent="0.25">
      <c r="A35" s="11">
        <v>90</v>
      </c>
      <c r="B35" s="9" t="s">
        <v>52</v>
      </c>
      <c r="C35" t="s">
        <v>42</v>
      </c>
      <c r="D35">
        <v>5896</v>
      </c>
      <c r="E35" t="s">
        <v>132</v>
      </c>
      <c r="F35" s="8">
        <v>226077</v>
      </c>
      <c r="G35" s="8"/>
      <c r="H35" s="8"/>
      <c r="I35" s="8"/>
      <c r="J35" s="8">
        <f t="shared" si="1"/>
        <v>226077</v>
      </c>
      <c r="K35" s="8">
        <v>226077</v>
      </c>
      <c r="L35" s="8"/>
      <c r="M35" s="8"/>
      <c r="N35" s="8"/>
      <c r="O35" s="8">
        <f t="shared" si="2"/>
        <v>226077</v>
      </c>
      <c r="Q35" s="9" t="s">
        <v>53</v>
      </c>
    </row>
    <row r="36" spans="1:17" ht="15.75" customHeight="1" x14ac:dyDescent="0.25">
      <c r="A36" s="11">
        <v>90</v>
      </c>
      <c r="B36" s="9" t="s">
        <v>54</v>
      </c>
      <c r="C36" t="s">
        <v>42</v>
      </c>
      <c r="D36">
        <v>5608</v>
      </c>
      <c r="E36" t="s">
        <v>133</v>
      </c>
      <c r="F36" s="8">
        <v>220000</v>
      </c>
      <c r="G36" s="8">
        <v>0</v>
      </c>
      <c r="H36" s="8"/>
      <c r="I36" s="8"/>
      <c r="J36" s="8">
        <f t="shared" si="1"/>
        <v>220000</v>
      </c>
      <c r="K36" s="8">
        <v>220000</v>
      </c>
      <c r="L36" s="8">
        <v>0</v>
      </c>
      <c r="M36" s="8"/>
      <c r="N36" s="8"/>
      <c r="O36" s="8">
        <f t="shared" si="2"/>
        <v>220000</v>
      </c>
      <c r="Q36" s="9" t="s">
        <v>55</v>
      </c>
    </row>
    <row r="37" spans="1:17" ht="15.75" customHeight="1" x14ac:dyDescent="0.25">
      <c r="A37" s="11">
        <v>90</v>
      </c>
      <c r="B37" s="9" t="s">
        <v>56</v>
      </c>
      <c r="C37" t="s">
        <v>39</v>
      </c>
      <c r="D37">
        <v>7966</v>
      </c>
      <c r="E37" t="s">
        <v>134</v>
      </c>
      <c r="F37" s="8">
        <v>50000</v>
      </c>
      <c r="G37" s="8"/>
      <c r="H37" s="8"/>
      <c r="I37" s="8"/>
      <c r="J37" s="8">
        <f t="shared" si="1"/>
        <v>50000</v>
      </c>
      <c r="K37" s="8">
        <v>100000</v>
      </c>
      <c r="L37" s="8"/>
      <c r="M37" s="8"/>
      <c r="N37" s="8"/>
      <c r="O37" s="8">
        <f t="shared" si="2"/>
        <v>100000</v>
      </c>
      <c r="Q37" s="9" t="s">
        <v>149</v>
      </c>
    </row>
    <row r="38" spans="1:17" ht="15.75" customHeight="1" x14ac:dyDescent="0.25">
      <c r="A38" s="11">
        <v>9100</v>
      </c>
      <c r="B38" s="9" t="s">
        <v>135</v>
      </c>
      <c r="C38" t="s">
        <v>57</v>
      </c>
      <c r="D38">
        <v>5710</v>
      </c>
      <c r="E38">
        <v>250</v>
      </c>
      <c r="F38" s="8">
        <f>209043*19.21%</f>
        <v>40157.160300000003</v>
      </c>
      <c r="G38" s="8"/>
      <c r="H38" s="8"/>
      <c r="I38" s="8">
        <f>209043*80.79%</f>
        <v>168885.83970000001</v>
      </c>
      <c r="J38" s="8">
        <f t="shared" si="1"/>
        <v>209043</v>
      </c>
      <c r="K38" s="8">
        <f>212177*19.21%</f>
        <v>40759.201700000005</v>
      </c>
      <c r="L38" s="8"/>
      <c r="M38" s="8"/>
      <c r="N38" s="8">
        <f>212177*80.79%</f>
        <v>171417.79830000002</v>
      </c>
      <c r="O38" s="8">
        <f t="shared" si="2"/>
        <v>212177.00000000003</v>
      </c>
      <c r="P38" t="s">
        <v>145</v>
      </c>
      <c r="Q38" s="9" t="s">
        <v>58</v>
      </c>
    </row>
    <row r="39" spans="1:17" ht="15.75" customHeight="1" x14ac:dyDescent="0.25">
      <c r="A39" s="11">
        <v>9100</v>
      </c>
      <c r="B39" s="9" t="s">
        <v>136</v>
      </c>
      <c r="C39" t="s">
        <v>57</v>
      </c>
      <c r="D39">
        <v>5710</v>
      </c>
      <c r="E39">
        <v>251</v>
      </c>
      <c r="F39" s="8">
        <f>100000*19.21%</f>
        <v>19210.000000000004</v>
      </c>
      <c r="G39" s="8"/>
      <c r="H39" s="8"/>
      <c r="I39" s="8">
        <f>100000*80.79%</f>
        <v>80790</v>
      </c>
      <c r="J39" s="8">
        <f t="shared" si="1"/>
        <v>100000</v>
      </c>
      <c r="K39" s="8">
        <f>100000*19.21%</f>
        <v>19210.000000000004</v>
      </c>
      <c r="L39" s="8"/>
      <c r="M39" s="8"/>
      <c r="N39" s="8">
        <f>100000*80.79%</f>
        <v>80790</v>
      </c>
      <c r="O39" s="8">
        <f t="shared" si="2"/>
        <v>100000</v>
      </c>
      <c r="P39" t="s">
        <v>145</v>
      </c>
      <c r="Q39" s="9" t="s">
        <v>59</v>
      </c>
    </row>
    <row r="40" spans="1:17" ht="15.75" customHeight="1" x14ac:dyDescent="0.25">
      <c r="A40" s="11">
        <v>9100</v>
      </c>
      <c r="B40" s="9" t="s">
        <v>146</v>
      </c>
      <c r="C40" t="s">
        <v>57</v>
      </c>
      <c r="D40">
        <v>5710</v>
      </c>
      <c r="E40" s="18" t="s">
        <v>147</v>
      </c>
      <c r="F40" s="8">
        <v>13168</v>
      </c>
      <c r="G40" s="8"/>
      <c r="H40" s="8"/>
      <c r="I40" s="8">
        <f>68546-13168</f>
        <v>55378</v>
      </c>
      <c r="J40" s="8">
        <f t="shared" ref="J40" si="3">SUM(F40:I40)</f>
        <v>68546</v>
      </c>
      <c r="K40" s="8">
        <v>13301</v>
      </c>
      <c r="L40" s="8"/>
      <c r="M40" s="8"/>
      <c r="N40" s="8">
        <f>-13301+69241</f>
        <v>55940</v>
      </c>
      <c r="O40" s="8">
        <f t="shared" ref="O40" si="4">SUM(K40:N40)</f>
        <v>69241</v>
      </c>
      <c r="P40" t="s">
        <v>145</v>
      </c>
      <c r="Q40" s="9" t="s">
        <v>59</v>
      </c>
    </row>
    <row r="41" spans="1:17" ht="15.75" customHeight="1" x14ac:dyDescent="0.25">
      <c r="A41" s="11">
        <v>9100</v>
      </c>
      <c r="B41" s="9" t="s">
        <v>60</v>
      </c>
      <c r="C41" t="s">
        <v>57</v>
      </c>
      <c r="D41">
        <v>5710</v>
      </c>
      <c r="E41">
        <v>196</v>
      </c>
      <c r="F41" s="8">
        <f>9206*19.21%</f>
        <v>1768.4726000000003</v>
      </c>
      <c r="G41" s="8"/>
      <c r="H41" s="8"/>
      <c r="I41" s="8">
        <f>9206*80.79%</f>
        <v>7437.5274000000009</v>
      </c>
      <c r="J41" s="8">
        <f t="shared" si="1"/>
        <v>9206.0000000000018</v>
      </c>
      <c r="K41" s="8">
        <f>9700*19.21%</f>
        <v>1863.3700000000001</v>
      </c>
      <c r="L41" s="8"/>
      <c r="M41" s="8"/>
      <c r="N41" s="8">
        <f>9700*80.79%</f>
        <v>7836.630000000001</v>
      </c>
      <c r="O41" s="8">
        <f t="shared" si="2"/>
        <v>9700.0000000000018</v>
      </c>
      <c r="P41" t="s">
        <v>145</v>
      </c>
      <c r="Q41" s="9" t="s">
        <v>61</v>
      </c>
    </row>
    <row r="42" spans="1:17" ht="15.75" customHeight="1" x14ac:dyDescent="0.25">
      <c r="A42" s="11">
        <v>9100</v>
      </c>
      <c r="B42" s="9" t="s">
        <v>137</v>
      </c>
      <c r="C42" t="s">
        <v>57</v>
      </c>
      <c r="D42">
        <v>5720</v>
      </c>
      <c r="E42">
        <v>251</v>
      </c>
      <c r="F42" s="8">
        <v>28919</v>
      </c>
      <c r="G42" s="8"/>
      <c r="H42" s="8"/>
      <c r="I42" s="8"/>
      <c r="J42" s="8">
        <f t="shared" si="1"/>
        <v>28919</v>
      </c>
      <c r="K42" s="8">
        <v>29353</v>
      </c>
      <c r="L42" s="8"/>
      <c r="M42" s="8"/>
      <c r="N42" s="8"/>
      <c r="O42" s="8">
        <f t="shared" si="2"/>
        <v>29353</v>
      </c>
      <c r="Q42" s="9" t="s">
        <v>62</v>
      </c>
    </row>
    <row r="43" spans="1:17" ht="15.75" customHeight="1" x14ac:dyDescent="0.25">
      <c r="A43" s="11">
        <v>9100</v>
      </c>
      <c r="B43" s="9" t="s">
        <v>138</v>
      </c>
      <c r="C43" t="s">
        <v>57</v>
      </c>
      <c r="D43">
        <v>5720</v>
      </c>
      <c r="E43">
        <v>196</v>
      </c>
      <c r="F43" s="8">
        <v>54572</v>
      </c>
      <c r="G43" s="8"/>
      <c r="H43" s="8"/>
      <c r="I43" s="8"/>
      <c r="J43" s="8">
        <f t="shared" si="1"/>
        <v>54572</v>
      </c>
      <c r="K43" s="8">
        <v>20000</v>
      </c>
      <c r="L43" s="8"/>
      <c r="M43" s="8"/>
      <c r="N43" s="8"/>
      <c r="O43" s="8">
        <f t="shared" si="2"/>
        <v>20000</v>
      </c>
      <c r="Q43" s="9" t="s">
        <v>63</v>
      </c>
    </row>
    <row r="44" spans="1:17" ht="15.75" customHeight="1" x14ac:dyDescent="0.25">
      <c r="A44" s="11">
        <v>9100</v>
      </c>
      <c r="B44" s="9" t="s">
        <v>139</v>
      </c>
      <c r="C44" t="s">
        <v>57</v>
      </c>
      <c r="D44">
        <v>5720</v>
      </c>
      <c r="E44">
        <v>256</v>
      </c>
      <c r="F44" s="8">
        <v>20341</v>
      </c>
      <c r="G44" s="8"/>
      <c r="H44" s="8"/>
      <c r="I44" s="8"/>
      <c r="J44" s="8">
        <f t="shared" si="1"/>
        <v>20341</v>
      </c>
      <c r="K44" s="8">
        <v>22322</v>
      </c>
      <c r="L44" s="8"/>
      <c r="M44" s="8"/>
      <c r="N44" s="8"/>
      <c r="O44" s="8">
        <f t="shared" si="2"/>
        <v>22322</v>
      </c>
      <c r="Q44" s="9" t="s">
        <v>62</v>
      </c>
    </row>
    <row r="45" spans="1:17" ht="15.75" customHeight="1" x14ac:dyDescent="0.25">
      <c r="A45" s="11">
        <v>9100</v>
      </c>
      <c r="B45" s="9" t="s">
        <v>146</v>
      </c>
      <c r="C45" t="s">
        <v>57</v>
      </c>
      <c r="D45">
        <v>5720</v>
      </c>
      <c r="E45" s="18" t="s">
        <v>148</v>
      </c>
      <c r="F45" s="8">
        <v>7970</v>
      </c>
      <c r="G45" s="8"/>
      <c r="H45" s="8"/>
      <c r="I45" s="8"/>
      <c r="J45" s="8">
        <f t="shared" ref="J45" si="5">SUM(F45:I45)</f>
        <v>7970</v>
      </c>
      <c r="K45" s="8">
        <v>8218</v>
      </c>
      <c r="L45" s="8"/>
      <c r="M45" s="8"/>
      <c r="N45" s="8"/>
      <c r="O45" s="8">
        <f t="shared" ref="O45" si="6">SUM(K45:N45)</f>
        <v>8218</v>
      </c>
      <c r="Q45" s="9" t="s">
        <v>62</v>
      </c>
    </row>
    <row r="46" spans="1:17" ht="15.75" customHeight="1" x14ac:dyDescent="0.25">
      <c r="A46" s="11">
        <v>9100</v>
      </c>
      <c r="B46" s="9" t="s">
        <v>140</v>
      </c>
      <c r="C46" t="s">
        <v>57</v>
      </c>
      <c r="D46">
        <v>7892</v>
      </c>
      <c r="E46">
        <v>196</v>
      </c>
      <c r="F46" s="8">
        <v>25000</v>
      </c>
      <c r="G46" s="8"/>
      <c r="H46" s="8"/>
      <c r="I46" s="8"/>
      <c r="J46" s="8">
        <f t="shared" si="1"/>
        <v>25000</v>
      </c>
      <c r="K46" s="8">
        <v>26000</v>
      </c>
      <c r="L46" s="8"/>
      <c r="M46" s="8"/>
      <c r="N46" s="8"/>
      <c r="O46" s="8">
        <f t="shared" si="2"/>
        <v>26000</v>
      </c>
      <c r="Q46" s="9" t="s">
        <v>64</v>
      </c>
    </row>
    <row r="47" spans="1:17" ht="15.75" customHeight="1" x14ac:dyDescent="0.25">
      <c r="A47" s="11">
        <v>9100</v>
      </c>
      <c r="B47" s="9" t="s">
        <v>65</v>
      </c>
      <c r="C47" t="s">
        <v>57</v>
      </c>
      <c r="D47">
        <v>7892</v>
      </c>
      <c r="E47">
        <v>196</v>
      </c>
      <c r="F47" s="8">
        <v>20000</v>
      </c>
      <c r="G47" s="8"/>
      <c r="H47" s="8"/>
      <c r="I47" s="8"/>
      <c r="J47" s="8">
        <f t="shared" si="1"/>
        <v>20000</v>
      </c>
      <c r="K47" s="8">
        <v>20000</v>
      </c>
      <c r="L47" s="8"/>
      <c r="M47" s="8"/>
      <c r="N47" s="8"/>
      <c r="O47" s="8">
        <f t="shared" si="2"/>
        <v>20000</v>
      </c>
      <c r="Q47" s="9" t="s">
        <v>64</v>
      </c>
    </row>
    <row r="48" spans="1:17" ht="15.75" customHeight="1" x14ac:dyDescent="0.25">
      <c r="A48" s="11">
        <v>9100</v>
      </c>
      <c r="B48" s="9" t="s">
        <v>141</v>
      </c>
      <c r="C48" t="s">
        <v>57</v>
      </c>
      <c r="D48">
        <v>7892</v>
      </c>
      <c r="E48">
        <v>254</v>
      </c>
      <c r="F48" s="8">
        <v>25000</v>
      </c>
      <c r="G48" s="8"/>
      <c r="H48" s="8"/>
      <c r="I48" s="8"/>
      <c r="J48" s="8">
        <f t="shared" si="1"/>
        <v>25000</v>
      </c>
      <c r="K48" s="8">
        <v>25000</v>
      </c>
      <c r="L48" s="8"/>
      <c r="M48" s="8"/>
      <c r="N48" s="8"/>
      <c r="O48" s="8">
        <f t="shared" si="2"/>
        <v>25000</v>
      </c>
      <c r="Q48" s="9" t="s">
        <v>62</v>
      </c>
    </row>
    <row r="49" spans="1:17" ht="15.75" customHeight="1" x14ac:dyDescent="0.25">
      <c r="A49" s="11">
        <v>9100</v>
      </c>
      <c r="B49" s="9" t="s">
        <v>146</v>
      </c>
      <c r="C49" t="s">
        <v>57</v>
      </c>
      <c r="D49">
        <v>7892</v>
      </c>
      <c r="E49">
        <v>254</v>
      </c>
      <c r="F49" s="8">
        <v>1913</v>
      </c>
      <c r="G49" s="8"/>
      <c r="H49" s="8"/>
      <c r="I49" s="8"/>
      <c r="J49" s="8">
        <f t="shared" ref="J49" si="7">SUM(F49:I49)</f>
        <v>1913</v>
      </c>
      <c r="K49" s="8">
        <v>1913</v>
      </c>
      <c r="L49" s="8"/>
      <c r="M49" s="8"/>
      <c r="N49" s="8"/>
      <c r="O49" s="8">
        <f t="shared" ref="O49" si="8">SUM(K49:N49)</f>
        <v>1913</v>
      </c>
      <c r="Q49" s="9" t="s">
        <v>62</v>
      </c>
    </row>
    <row r="50" spans="1:17" x14ac:dyDescent="0.25">
      <c r="A50" s="11">
        <v>92</v>
      </c>
      <c r="B50" s="9" t="s">
        <v>66</v>
      </c>
      <c r="C50" t="s">
        <v>142</v>
      </c>
      <c r="D50">
        <v>41140000</v>
      </c>
      <c r="E50">
        <v>176</v>
      </c>
      <c r="F50" s="8"/>
      <c r="G50" s="8"/>
      <c r="H50" s="8"/>
      <c r="I50" s="8"/>
      <c r="J50" s="8">
        <f t="shared" si="1"/>
        <v>0</v>
      </c>
      <c r="K50" s="8">
        <v>30113</v>
      </c>
      <c r="L50" s="8"/>
      <c r="M50" s="8"/>
      <c r="N50" s="8"/>
      <c r="O50" s="8">
        <f t="shared" si="2"/>
        <v>30113</v>
      </c>
      <c r="Q50" s="9" t="s">
        <v>66</v>
      </c>
    </row>
    <row r="51" spans="1:17" x14ac:dyDescent="0.25">
      <c r="A51" s="11">
        <v>92</v>
      </c>
      <c r="B51" s="9" t="s">
        <v>67</v>
      </c>
      <c r="C51" t="s">
        <v>142</v>
      </c>
      <c r="D51">
        <v>41170000</v>
      </c>
      <c r="E51">
        <v>177</v>
      </c>
      <c r="F51" s="8">
        <v>1500000</v>
      </c>
      <c r="G51" s="8"/>
      <c r="H51" s="8"/>
      <c r="I51" s="8"/>
      <c r="J51" s="8">
        <f t="shared" si="1"/>
        <v>1500000</v>
      </c>
      <c r="K51" s="8">
        <v>1500000</v>
      </c>
      <c r="L51" s="8"/>
      <c r="M51" s="8"/>
      <c r="N51" s="8"/>
      <c r="O51" s="8">
        <f t="shared" si="2"/>
        <v>1500000</v>
      </c>
      <c r="Q51" s="9" t="s">
        <v>67</v>
      </c>
    </row>
    <row r="52" spans="1:17" ht="30" x14ac:dyDescent="0.25">
      <c r="A52" s="11">
        <v>95</v>
      </c>
      <c r="B52" s="9" t="s">
        <v>68</v>
      </c>
      <c r="C52" t="s">
        <v>69</v>
      </c>
      <c r="D52">
        <v>56850000</v>
      </c>
      <c r="E52">
        <v>210</v>
      </c>
      <c r="F52" s="8">
        <v>229397</v>
      </c>
      <c r="G52" s="8">
        <v>0</v>
      </c>
      <c r="H52" s="8"/>
      <c r="I52" s="8">
        <v>0</v>
      </c>
      <c r="J52" s="8">
        <f t="shared" ref="J52:J103" si="9">SUM(F52:I52)</f>
        <v>229397</v>
      </c>
      <c r="K52" s="8">
        <v>230154</v>
      </c>
      <c r="L52" s="8">
        <v>0</v>
      </c>
      <c r="M52" s="8"/>
      <c r="N52" s="8">
        <v>0</v>
      </c>
      <c r="O52" s="8">
        <f t="shared" ref="O52:O103" si="10">SUM(K52:N52)</f>
        <v>230154</v>
      </c>
      <c r="Q52" s="9" t="s">
        <v>171</v>
      </c>
    </row>
    <row r="53" spans="1:17" ht="14.25" customHeight="1" x14ac:dyDescent="0.25">
      <c r="A53" s="11">
        <v>95</v>
      </c>
      <c r="B53" s="9" t="s">
        <v>22</v>
      </c>
      <c r="C53" t="s">
        <v>69</v>
      </c>
      <c r="D53">
        <v>56850000</v>
      </c>
      <c r="E53">
        <v>211</v>
      </c>
      <c r="F53" s="8">
        <f>85000*0.7612</f>
        <v>64702</v>
      </c>
      <c r="G53" s="8">
        <f>85000*0.2181</f>
        <v>18538.5</v>
      </c>
      <c r="H53" s="8"/>
      <c r="I53" s="8">
        <f>85000*0.0207</f>
        <v>1759.5</v>
      </c>
      <c r="J53" s="8">
        <f t="shared" si="9"/>
        <v>85000</v>
      </c>
      <c r="K53" s="8">
        <v>0</v>
      </c>
      <c r="L53" s="8">
        <v>0</v>
      </c>
      <c r="M53" s="8"/>
      <c r="N53" s="8">
        <v>0</v>
      </c>
      <c r="O53" s="8">
        <f t="shared" si="10"/>
        <v>0</v>
      </c>
      <c r="P53" t="s">
        <v>150</v>
      </c>
      <c r="Q53" s="9" t="s">
        <v>70</v>
      </c>
    </row>
    <row r="54" spans="1:17" x14ac:dyDescent="0.25">
      <c r="A54" s="11">
        <v>95</v>
      </c>
      <c r="B54" s="9" t="s">
        <v>71</v>
      </c>
      <c r="C54" t="s">
        <v>69</v>
      </c>
      <c r="D54">
        <v>56850000</v>
      </c>
      <c r="E54">
        <v>212</v>
      </c>
      <c r="F54" s="8">
        <f>56250*0.7612</f>
        <v>42817.5</v>
      </c>
      <c r="G54" s="8">
        <f>56250*0.2181</f>
        <v>12268.125</v>
      </c>
      <c r="H54" s="8"/>
      <c r="I54" s="8">
        <f>56250*0.0207</f>
        <v>1164.375</v>
      </c>
      <c r="J54" s="8">
        <f t="shared" si="9"/>
        <v>56250</v>
      </c>
      <c r="K54" s="8">
        <f>56250*0.7612</f>
        <v>42817.5</v>
      </c>
      <c r="L54" s="8">
        <f>56250*0.2181</f>
        <v>12268.125</v>
      </c>
      <c r="M54" s="8"/>
      <c r="N54" s="8">
        <f>56250*0.0207</f>
        <v>1164.375</v>
      </c>
      <c r="O54" s="8">
        <f t="shared" si="10"/>
        <v>56250</v>
      </c>
      <c r="P54" t="s">
        <v>150</v>
      </c>
      <c r="Q54" s="9" t="s">
        <v>72</v>
      </c>
    </row>
    <row r="55" spans="1:17" ht="30" x14ac:dyDescent="0.25">
      <c r="A55" s="11">
        <v>95</v>
      </c>
      <c r="B55" s="9" t="s">
        <v>73</v>
      </c>
      <c r="C55" t="s">
        <v>69</v>
      </c>
      <c r="D55">
        <v>56850000</v>
      </c>
      <c r="E55">
        <v>213</v>
      </c>
      <c r="F55" s="8">
        <f>25000*0.7612</f>
        <v>19030</v>
      </c>
      <c r="G55" s="8">
        <f>25000*0.2181</f>
        <v>5452.5</v>
      </c>
      <c r="H55" s="8"/>
      <c r="I55" s="8">
        <f>25000*0.0207</f>
        <v>517.5</v>
      </c>
      <c r="J55" s="8">
        <f t="shared" si="9"/>
        <v>25000</v>
      </c>
      <c r="K55" s="8">
        <f>25000*0.7612</f>
        <v>19030</v>
      </c>
      <c r="L55" s="8">
        <f>25000*0.2181</f>
        <v>5452.5</v>
      </c>
      <c r="M55" s="8"/>
      <c r="N55" s="8">
        <f>25000*0.0207</f>
        <v>517.5</v>
      </c>
      <c r="O55" s="8">
        <f t="shared" si="10"/>
        <v>25000</v>
      </c>
      <c r="P55" t="s">
        <v>150</v>
      </c>
      <c r="Q55" s="9" t="s">
        <v>72</v>
      </c>
    </row>
    <row r="56" spans="1:17" ht="30" x14ac:dyDescent="0.25">
      <c r="A56" s="11">
        <v>95</v>
      </c>
      <c r="B56" s="9" t="s">
        <v>74</v>
      </c>
      <c r="C56" t="s">
        <v>69</v>
      </c>
      <c r="D56">
        <v>56850000</v>
      </c>
      <c r="E56">
        <v>214</v>
      </c>
      <c r="F56" s="8">
        <f>37500*0.7612</f>
        <v>28545</v>
      </c>
      <c r="G56" s="8">
        <f>37500*0.2181</f>
        <v>8178.75</v>
      </c>
      <c r="H56" s="8"/>
      <c r="I56" s="8">
        <f>37500*0.0207</f>
        <v>776.25</v>
      </c>
      <c r="J56" s="8">
        <f t="shared" si="9"/>
        <v>37500</v>
      </c>
      <c r="K56" s="8">
        <f>37500*0.7612</f>
        <v>28545</v>
      </c>
      <c r="L56" s="8">
        <f>37500*0.2181</f>
        <v>8178.75</v>
      </c>
      <c r="M56" s="8"/>
      <c r="N56" s="8">
        <f>37500*0.0207</f>
        <v>776.25</v>
      </c>
      <c r="O56" s="8">
        <f t="shared" si="10"/>
        <v>37500</v>
      </c>
      <c r="P56" t="s">
        <v>150</v>
      </c>
      <c r="Q56" s="9" t="s">
        <v>72</v>
      </c>
    </row>
    <row r="57" spans="1:17" ht="30" x14ac:dyDescent="0.25">
      <c r="A57" s="11">
        <v>95</v>
      </c>
      <c r="B57" s="9" t="s">
        <v>75</v>
      </c>
      <c r="C57" t="s">
        <v>69</v>
      </c>
      <c r="D57">
        <v>56850000</v>
      </c>
      <c r="E57">
        <v>215</v>
      </c>
      <c r="F57" s="8">
        <f>35000*0.7612</f>
        <v>26642</v>
      </c>
      <c r="G57" s="8">
        <f>35000*0.2181</f>
        <v>7633.5</v>
      </c>
      <c r="H57" s="8"/>
      <c r="I57" s="8">
        <f>35000*0.0207</f>
        <v>724.5</v>
      </c>
      <c r="J57" s="8">
        <f t="shared" si="9"/>
        <v>35000</v>
      </c>
      <c r="K57" s="8">
        <v>0</v>
      </c>
      <c r="L57" s="8">
        <v>0</v>
      </c>
      <c r="M57" s="8"/>
      <c r="N57" s="8">
        <v>0</v>
      </c>
      <c r="O57" s="8">
        <f t="shared" si="10"/>
        <v>0</v>
      </c>
      <c r="P57" t="s">
        <v>150</v>
      </c>
      <c r="Q57" s="9" t="s">
        <v>72</v>
      </c>
    </row>
    <row r="58" spans="1:17" ht="13.5" customHeight="1" x14ac:dyDescent="0.25">
      <c r="A58" s="11">
        <v>95</v>
      </c>
      <c r="B58" s="9" t="s">
        <v>76</v>
      </c>
      <c r="C58" t="s">
        <v>69</v>
      </c>
      <c r="D58">
        <v>56850000</v>
      </c>
      <c r="E58">
        <v>216</v>
      </c>
      <c r="F58" s="8">
        <v>0</v>
      </c>
      <c r="G58" s="8">
        <v>0</v>
      </c>
      <c r="H58" s="8"/>
      <c r="I58" s="8">
        <v>0</v>
      </c>
      <c r="J58" s="8">
        <f t="shared" si="9"/>
        <v>0</v>
      </c>
      <c r="K58" s="8">
        <f>45000*0.7612</f>
        <v>34254</v>
      </c>
      <c r="L58" s="8">
        <f>45000*0.2181</f>
        <v>9814.5</v>
      </c>
      <c r="M58" s="8"/>
      <c r="N58" s="8">
        <f>45000*0.0207</f>
        <v>931.5</v>
      </c>
      <c r="O58" s="8">
        <f t="shared" si="10"/>
        <v>45000</v>
      </c>
      <c r="P58" t="s">
        <v>150</v>
      </c>
      <c r="Q58" s="9" t="s">
        <v>77</v>
      </c>
    </row>
    <row r="59" spans="1:17" ht="13.5" customHeight="1" x14ac:dyDescent="0.25">
      <c r="A59" s="11">
        <v>95</v>
      </c>
      <c r="B59" s="9" t="s">
        <v>78</v>
      </c>
      <c r="C59" t="s">
        <v>69</v>
      </c>
      <c r="D59">
        <v>56850000</v>
      </c>
      <c r="E59">
        <v>217</v>
      </c>
      <c r="F59" s="8">
        <f>95000*0.7612</f>
        <v>72314</v>
      </c>
      <c r="G59" s="8">
        <f>95000*0.2181</f>
        <v>20719.5</v>
      </c>
      <c r="H59" s="8"/>
      <c r="I59" s="8">
        <f>95000*0.0207</f>
        <v>1966.5</v>
      </c>
      <c r="J59" s="8">
        <f t="shared" si="9"/>
        <v>95000</v>
      </c>
      <c r="K59" s="8">
        <f>85000*0.7612</f>
        <v>64702</v>
      </c>
      <c r="L59" s="8">
        <f>85000*0.2181</f>
        <v>18538.5</v>
      </c>
      <c r="M59" s="8"/>
      <c r="N59" s="8">
        <f>85000*0.0207</f>
        <v>1759.5</v>
      </c>
      <c r="O59" s="8">
        <f t="shared" si="10"/>
        <v>85000</v>
      </c>
      <c r="P59" t="s">
        <v>150</v>
      </c>
      <c r="Q59" s="9" t="s">
        <v>79</v>
      </c>
    </row>
    <row r="60" spans="1:17" ht="13.5" customHeight="1" x14ac:dyDescent="0.25">
      <c r="A60" s="11">
        <v>95</v>
      </c>
      <c r="B60" s="9" t="s">
        <v>80</v>
      </c>
      <c r="C60" t="s">
        <v>69</v>
      </c>
      <c r="D60">
        <v>56850000</v>
      </c>
      <c r="E60">
        <v>218</v>
      </c>
      <c r="F60" s="8">
        <f>95000*0.7612</f>
        <v>72314</v>
      </c>
      <c r="G60" s="8">
        <v>20719.5</v>
      </c>
      <c r="H60" s="8"/>
      <c r="I60" s="8">
        <v>1966.5</v>
      </c>
      <c r="J60" s="8">
        <f t="shared" si="9"/>
        <v>95000</v>
      </c>
      <c r="K60" s="8">
        <f>80000*0.7612</f>
        <v>60896</v>
      </c>
      <c r="L60" s="8">
        <f>80000*0.2181</f>
        <v>17448</v>
      </c>
      <c r="M60" s="8"/>
      <c r="N60" s="8">
        <f>80000*0.0207</f>
        <v>1656</v>
      </c>
      <c r="O60" s="8">
        <f t="shared" si="10"/>
        <v>80000</v>
      </c>
      <c r="P60" t="s">
        <v>150</v>
      </c>
      <c r="Q60" s="9" t="s">
        <v>81</v>
      </c>
    </row>
    <row r="61" spans="1:17" ht="30" x14ac:dyDescent="0.25">
      <c r="A61" s="11">
        <v>95</v>
      </c>
      <c r="B61" s="9" t="s">
        <v>82</v>
      </c>
      <c r="C61" t="s">
        <v>69</v>
      </c>
      <c r="D61">
        <v>56850000</v>
      </c>
      <c r="E61">
        <v>219</v>
      </c>
      <c r="F61" s="8">
        <f>45000*0.7612</f>
        <v>34254</v>
      </c>
      <c r="G61" s="8">
        <f>45000*0.2181</f>
        <v>9814.5</v>
      </c>
      <c r="H61" s="8"/>
      <c r="I61" s="8">
        <f>45000*0.0207</f>
        <v>931.5</v>
      </c>
      <c r="J61" s="8">
        <f t="shared" si="9"/>
        <v>45000</v>
      </c>
      <c r="K61" s="8">
        <f>44250*0.7612</f>
        <v>33683.1</v>
      </c>
      <c r="L61" s="8">
        <f>44250*0.2181</f>
        <v>9650.9249999999993</v>
      </c>
      <c r="M61" s="8"/>
      <c r="N61" s="8">
        <f>44250*0.0207</f>
        <v>915.97500000000002</v>
      </c>
      <c r="O61" s="8">
        <f t="shared" si="10"/>
        <v>44249.999999999993</v>
      </c>
      <c r="P61" t="s">
        <v>150</v>
      </c>
      <c r="Q61" s="9" t="s">
        <v>83</v>
      </c>
    </row>
    <row r="62" spans="1:17" x14ac:dyDescent="0.25">
      <c r="A62" s="11">
        <v>95</v>
      </c>
      <c r="B62" s="9" t="s">
        <v>84</v>
      </c>
      <c r="C62" t="s">
        <v>69</v>
      </c>
      <c r="D62">
        <v>56850000</v>
      </c>
      <c r="E62">
        <v>220</v>
      </c>
      <c r="F62" s="8">
        <f>75000*0.7612</f>
        <v>57090</v>
      </c>
      <c r="G62" s="8">
        <f>75000*0.2181</f>
        <v>16357.5</v>
      </c>
      <c r="H62" s="8"/>
      <c r="I62" s="8">
        <f>75000*0.0207</f>
        <v>1552.5</v>
      </c>
      <c r="J62" s="8">
        <f t="shared" si="9"/>
        <v>75000</v>
      </c>
      <c r="K62" s="8">
        <f>75000*0.7612</f>
        <v>57090</v>
      </c>
      <c r="L62" s="8">
        <f>75000*0.2181</f>
        <v>16357.5</v>
      </c>
      <c r="M62" s="8"/>
      <c r="N62" s="8">
        <f>75000*0.0207</f>
        <v>1552.5</v>
      </c>
      <c r="O62" s="8">
        <f t="shared" si="10"/>
        <v>75000</v>
      </c>
      <c r="P62" t="s">
        <v>150</v>
      </c>
      <c r="Q62" s="9" t="s">
        <v>72</v>
      </c>
    </row>
    <row r="63" spans="1:17" ht="45" x14ac:dyDescent="0.25">
      <c r="A63" s="11">
        <v>95</v>
      </c>
      <c r="B63" s="9" t="s">
        <v>85</v>
      </c>
      <c r="C63" t="s">
        <v>69</v>
      </c>
      <c r="D63">
        <v>56850000</v>
      </c>
      <c r="E63">
        <v>221</v>
      </c>
      <c r="F63" s="8">
        <v>0</v>
      </c>
      <c r="G63" s="8">
        <v>0</v>
      </c>
      <c r="H63" s="8"/>
      <c r="I63" s="8">
        <v>0</v>
      </c>
      <c r="J63" s="8">
        <f t="shared" si="9"/>
        <v>0</v>
      </c>
      <c r="K63" s="8">
        <f>275000*0.7612</f>
        <v>209330</v>
      </c>
      <c r="L63" s="8">
        <f>275000*0.2181</f>
        <v>59977.5</v>
      </c>
      <c r="M63" s="8"/>
      <c r="N63" s="8">
        <f>275000*0.0207</f>
        <v>5692.5</v>
      </c>
      <c r="O63" s="8">
        <f t="shared" si="10"/>
        <v>275000</v>
      </c>
      <c r="P63" t="s">
        <v>150</v>
      </c>
      <c r="Q63" s="9" t="s">
        <v>86</v>
      </c>
    </row>
    <row r="64" spans="1:17" ht="13.5" customHeight="1" x14ac:dyDescent="0.25">
      <c r="A64" s="11">
        <v>95</v>
      </c>
      <c r="B64" s="9" t="s">
        <v>87</v>
      </c>
      <c r="C64" t="s">
        <v>69</v>
      </c>
      <c r="D64">
        <v>56850000</v>
      </c>
      <c r="E64">
        <v>222</v>
      </c>
      <c r="F64" s="8">
        <f>65000*0.7612</f>
        <v>49478</v>
      </c>
      <c r="G64" s="8">
        <f>65000*0.2181</f>
        <v>14176.5</v>
      </c>
      <c r="H64" s="8"/>
      <c r="I64" s="8">
        <f>65000*0.0207</f>
        <v>1345.5</v>
      </c>
      <c r="J64" s="8">
        <f t="shared" si="9"/>
        <v>65000</v>
      </c>
      <c r="K64" s="8">
        <f>125000*0.7612</f>
        <v>95150</v>
      </c>
      <c r="L64" s="8">
        <f>125000*0.2181</f>
        <v>27262.5</v>
      </c>
      <c r="M64" s="8"/>
      <c r="N64" s="8">
        <f>125000*0.0207</f>
        <v>2587.5</v>
      </c>
      <c r="O64" s="8">
        <f t="shared" si="10"/>
        <v>125000</v>
      </c>
      <c r="P64" t="s">
        <v>150</v>
      </c>
      <c r="Q64" s="9" t="s">
        <v>79</v>
      </c>
    </row>
    <row r="65" spans="1:17" ht="13.5" customHeight="1" x14ac:dyDescent="0.25">
      <c r="A65" s="11">
        <v>95</v>
      </c>
      <c r="B65" s="9" t="s">
        <v>88</v>
      </c>
      <c r="C65" t="s">
        <v>69</v>
      </c>
      <c r="D65">
        <v>56850000</v>
      </c>
      <c r="E65">
        <v>233</v>
      </c>
      <c r="F65" s="8">
        <f>50000*0.6614</f>
        <v>33070</v>
      </c>
      <c r="G65" s="8">
        <f>50000*0.3144</f>
        <v>15720</v>
      </c>
      <c r="H65" s="8"/>
      <c r="I65" s="8">
        <f>50000*0.0242</f>
        <v>1210</v>
      </c>
      <c r="J65" s="8">
        <f t="shared" si="9"/>
        <v>50000</v>
      </c>
      <c r="K65" s="8">
        <v>0</v>
      </c>
      <c r="L65" s="8">
        <v>0</v>
      </c>
      <c r="M65" s="8"/>
      <c r="N65" s="8">
        <v>0</v>
      </c>
      <c r="O65" s="8">
        <f t="shared" si="10"/>
        <v>0</v>
      </c>
      <c r="P65" t="s">
        <v>150</v>
      </c>
      <c r="Q65" s="9" t="s">
        <v>89</v>
      </c>
    </row>
    <row r="66" spans="1:17" ht="30" x14ac:dyDescent="0.25">
      <c r="A66" s="11">
        <v>95</v>
      </c>
      <c r="B66" s="9" t="s">
        <v>90</v>
      </c>
      <c r="C66" t="s">
        <v>69</v>
      </c>
      <c r="D66">
        <v>56850000</v>
      </c>
      <c r="E66">
        <v>223</v>
      </c>
      <c r="F66" s="8">
        <v>0</v>
      </c>
      <c r="G66" s="8">
        <v>0</v>
      </c>
      <c r="H66" s="8"/>
      <c r="I66" s="8">
        <v>0</v>
      </c>
      <c r="J66" s="8">
        <f t="shared" si="9"/>
        <v>0</v>
      </c>
      <c r="K66" s="8">
        <f>42000*0.453</f>
        <v>19026</v>
      </c>
      <c r="L66" s="8">
        <f>42000*0.4995</f>
        <v>20979</v>
      </c>
      <c r="M66" s="8"/>
      <c r="N66" s="8">
        <f>42000*0.0475</f>
        <v>1995</v>
      </c>
      <c r="O66" s="8">
        <f t="shared" si="10"/>
        <v>42000</v>
      </c>
      <c r="P66" t="s">
        <v>150</v>
      </c>
      <c r="Q66" s="9" t="s">
        <v>91</v>
      </c>
    </row>
    <row r="67" spans="1:17" ht="14.25" customHeight="1" x14ac:dyDescent="0.25">
      <c r="A67" s="11">
        <v>95</v>
      </c>
      <c r="B67" s="9" t="s">
        <v>92</v>
      </c>
      <c r="C67" t="s">
        <v>69</v>
      </c>
      <c r="D67">
        <v>56850000</v>
      </c>
      <c r="E67">
        <v>224</v>
      </c>
      <c r="F67" s="8">
        <f>825000*0.6614</f>
        <v>545655</v>
      </c>
      <c r="G67" s="8">
        <f>825000*0.3144</f>
        <v>259380</v>
      </c>
      <c r="H67" s="8"/>
      <c r="I67" s="8">
        <f>825000*0.0242</f>
        <v>19965</v>
      </c>
      <c r="J67" s="8">
        <f t="shared" si="9"/>
        <v>825000</v>
      </c>
      <c r="K67" s="8">
        <v>0</v>
      </c>
      <c r="L67" s="8">
        <v>0</v>
      </c>
      <c r="M67" s="8"/>
      <c r="N67" s="8">
        <v>0</v>
      </c>
      <c r="O67" s="8">
        <f t="shared" si="10"/>
        <v>0</v>
      </c>
      <c r="P67" t="s">
        <v>150</v>
      </c>
      <c r="Q67" s="9" t="s">
        <v>93</v>
      </c>
    </row>
    <row r="68" spans="1:17" ht="14.25" customHeight="1" x14ac:dyDescent="0.25">
      <c r="A68" s="11">
        <v>95</v>
      </c>
      <c r="B68" s="9" t="s">
        <v>92</v>
      </c>
      <c r="C68" t="s">
        <v>69</v>
      </c>
      <c r="D68">
        <v>56850000</v>
      </c>
      <c r="E68">
        <v>225</v>
      </c>
      <c r="F68" s="8">
        <v>0</v>
      </c>
      <c r="G68" s="8">
        <v>0</v>
      </c>
      <c r="H68" s="8"/>
      <c r="I68" s="8">
        <v>0</v>
      </c>
      <c r="J68" s="8">
        <f t="shared" si="9"/>
        <v>0</v>
      </c>
      <c r="K68" s="8">
        <f>500000*0.6614</f>
        <v>330700</v>
      </c>
      <c r="L68" s="8">
        <f>500000*0.3144</f>
        <v>157200</v>
      </c>
      <c r="M68" s="8"/>
      <c r="N68" s="8">
        <f>500000*0.0242</f>
        <v>12100</v>
      </c>
      <c r="O68" s="8">
        <f t="shared" si="10"/>
        <v>500000</v>
      </c>
      <c r="P68" t="s">
        <v>150</v>
      </c>
      <c r="Q68" s="9" t="s">
        <v>93</v>
      </c>
    </row>
    <row r="69" spans="1:17" ht="14.25" customHeight="1" x14ac:dyDescent="0.25">
      <c r="A69" s="11">
        <v>95</v>
      </c>
      <c r="B69" s="9" t="s">
        <v>90</v>
      </c>
      <c r="C69" t="s">
        <v>69</v>
      </c>
      <c r="D69">
        <v>56850000</v>
      </c>
      <c r="E69">
        <v>226</v>
      </c>
      <c r="F69" s="8">
        <f>75000*0.6614</f>
        <v>49605</v>
      </c>
      <c r="G69" s="8">
        <f>75000*0.3144</f>
        <v>23580</v>
      </c>
      <c r="H69" s="8"/>
      <c r="I69" s="8">
        <f>75000*0.0242</f>
        <v>1815</v>
      </c>
      <c r="J69" s="8">
        <f t="shared" si="9"/>
        <v>75000</v>
      </c>
      <c r="K69" s="8">
        <v>0</v>
      </c>
      <c r="L69" s="8">
        <v>0</v>
      </c>
      <c r="M69" s="8"/>
      <c r="N69" s="8">
        <v>0</v>
      </c>
      <c r="O69" s="8">
        <f t="shared" si="10"/>
        <v>0</v>
      </c>
      <c r="P69" t="s">
        <v>150</v>
      </c>
      <c r="Q69" s="9" t="s">
        <v>91</v>
      </c>
    </row>
    <row r="70" spans="1:17" ht="14.25" customHeight="1" x14ac:dyDescent="0.25">
      <c r="A70" s="11">
        <v>95</v>
      </c>
      <c r="B70" s="9" t="s">
        <v>94</v>
      </c>
      <c r="C70" t="s">
        <v>69</v>
      </c>
      <c r="D70">
        <v>56850000</v>
      </c>
      <c r="E70">
        <v>227</v>
      </c>
      <c r="F70" s="8">
        <f>340000*0.6614</f>
        <v>224876</v>
      </c>
      <c r="G70" s="8">
        <f>340000*0.3144</f>
        <v>106896</v>
      </c>
      <c r="H70" s="8"/>
      <c r="I70" s="8">
        <f>340000*0.0242</f>
        <v>8228</v>
      </c>
      <c r="J70" s="8">
        <f t="shared" si="9"/>
        <v>340000</v>
      </c>
      <c r="K70" s="8">
        <v>0</v>
      </c>
      <c r="L70" s="8">
        <v>0</v>
      </c>
      <c r="M70" s="8"/>
      <c r="N70" s="8">
        <v>0</v>
      </c>
      <c r="O70" s="8">
        <f t="shared" si="10"/>
        <v>0</v>
      </c>
      <c r="P70" t="s">
        <v>150</v>
      </c>
      <c r="Q70" s="9" t="s">
        <v>95</v>
      </c>
    </row>
    <row r="71" spans="1:17" ht="14.25" customHeight="1" x14ac:dyDescent="0.25">
      <c r="A71" s="11">
        <v>95</v>
      </c>
      <c r="B71" s="9" t="s">
        <v>88</v>
      </c>
      <c r="C71" t="s">
        <v>69</v>
      </c>
      <c r="D71">
        <v>56850000</v>
      </c>
      <c r="E71">
        <v>228</v>
      </c>
      <c r="F71" s="8">
        <f>50000*0.453</f>
        <v>22650</v>
      </c>
      <c r="G71" s="8">
        <f>50000*0.4995</f>
        <v>24975</v>
      </c>
      <c r="H71" s="8"/>
      <c r="I71" s="8">
        <f>50000*0.0475</f>
        <v>2375</v>
      </c>
      <c r="J71" s="8">
        <f t="shared" si="9"/>
        <v>50000</v>
      </c>
      <c r="K71" s="8">
        <v>0</v>
      </c>
      <c r="L71" s="8">
        <v>0</v>
      </c>
      <c r="M71" s="8"/>
      <c r="N71" s="8">
        <v>0</v>
      </c>
      <c r="O71" s="8">
        <f t="shared" si="10"/>
        <v>0</v>
      </c>
      <c r="P71" t="s">
        <v>150</v>
      </c>
      <c r="Q71" s="9" t="s">
        <v>89</v>
      </c>
    </row>
    <row r="72" spans="1:17" ht="30" x14ac:dyDescent="0.25">
      <c r="A72" s="11">
        <v>95</v>
      </c>
      <c r="B72" s="9" t="s">
        <v>96</v>
      </c>
      <c r="C72" t="s">
        <v>69</v>
      </c>
      <c r="D72">
        <v>56850000</v>
      </c>
      <c r="E72">
        <v>229</v>
      </c>
      <c r="F72" s="8">
        <f>75000*0.6614</f>
        <v>49605</v>
      </c>
      <c r="G72" s="8">
        <f>75000*0.3144</f>
        <v>23580</v>
      </c>
      <c r="H72" s="8"/>
      <c r="I72" s="8">
        <f>75000*0.0242</f>
        <v>1815</v>
      </c>
      <c r="J72" s="8">
        <f t="shared" si="9"/>
        <v>75000</v>
      </c>
      <c r="K72" s="8">
        <v>0</v>
      </c>
      <c r="L72" s="8">
        <v>0</v>
      </c>
      <c r="M72" s="8"/>
      <c r="N72" s="8">
        <v>0</v>
      </c>
      <c r="O72" s="8">
        <f t="shared" si="10"/>
        <v>0</v>
      </c>
      <c r="P72" t="s">
        <v>150</v>
      </c>
      <c r="Q72" s="9" t="s">
        <v>91</v>
      </c>
    </row>
    <row r="73" spans="1:17" ht="30" x14ac:dyDescent="0.25">
      <c r="A73" s="11">
        <v>95</v>
      </c>
      <c r="B73" s="9" t="s">
        <v>97</v>
      </c>
      <c r="C73" t="s">
        <v>69</v>
      </c>
      <c r="D73">
        <v>56850000</v>
      </c>
      <c r="E73">
        <v>230</v>
      </c>
      <c r="F73" s="8">
        <v>0</v>
      </c>
      <c r="G73" s="8">
        <v>0</v>
      </c>
      <c r="H73" s="8"/>
      <c r="I73" s="8">
        <v>0</v>
      </c>
      <c r="J73" s="8">
        <f t="shared" si="9"/>
        <v>0</v>
      </c>
      <c r="K73" s="8">
        <f>87500*0.6614</f>
        <v>57872.5</v>
      </c>
      <c r="L73" s="8">
        <f>87500*0.3144</f>
        <v>27510</v>
      </c>
      <c r="M73" s="8"/>
      <c r="N73" s="8">
        <f>87500*0.0242</f>
        <v>2117.5</v>
      </c>
      <c r="O73" s="8">
        <f t="shared" si="10"/>
        <v>87500</v>
      </c>
      <c r="P73" t="s">
        <v>150</v>
      </c>
      <c r="Q73" s="9" t="s">
        <v>95</v>
      </c>
    </row>
    <row r="74" spans="1:17" ht="30" x14ac:dyDescent="0.25">
      <c r="A74" s="11">
        <v>95</v>
      </c>
      <c r="B74" s="9" t="s">
        <v>98</v>
      </c>
      <c r="C74" t="s">
        <v>69</v>
      </c>
      <c r="D74">
        <v>56850000</v>
      </c>
      <c r="E74">
        <v>231</v>
      </c>
      <c r="F74" s="8">
        <v>0</v>
      </c>
      <c r="G74" s="8">
        <v>0</v>
      </c>
      <c r="H74" s="8"/>
      <c r="I74" s="8">
        <v>0</v>
      </c>
      <c r="J74" s="8">
        <f t="shared" si="9"/>
        <v>0</v>
      </c>
      <c r="K74" s="8">
        <f>175000*0.6614</f>
        <v>115745</v>
      </c>
      <c r="L74" s="8">
        <f>175000*0.3144</f>
        <v>55020</v>
      </c>
      <c r="M74" s="8"/>
      <c r="N74" s="8">
        <f>175000*0.0242</f>
        <v>4235</v>
      </c>
      <c r="O74" s="8">
        <f t="shared" si="10"/>
        <v>175000</v>
      </c>
      <c r="P74" t="s">
        <v>150</v>
      </c>
      <c r="Q74" s="9" t="s">
        <v>95</v>
      </c>
    </row>
    <row r="75" spans="1:17" x14ac:dyDescent="0.25">
      <c r="A75" s="11">
        <v>95</v>
      </c>
      <c r="B75" s="9" t="s">
        <v>99</v>
      </c>
      <c r="C75" t="s">
        <v>69</v>
      </c>
      <c r="D75">
        <v>56850000</v>
      </c>
      <c r="E75">
        <v>232</v>
      </c>
      <c r="F75" s="8">
        <v>0</v>
      </c>
      <c r="G75" s="8">
        <v>0</v>
      </c>
      <c r="H75" s="8"/>
      <c r="I75" s="8">
        <v>0</v>
      </c>
      <c r="J75" s="8">
        <f t="shared" si="9"/>
        <v>0</v>
      </c>
      <c r="K75" s="8">
        <f>350000*0.6614</f>
        <v>231490</v>
      </c>
      <c r="L75" s="8">
        <f>350000*0.3144</f>
        <v>110040</v>
      </c>
      <c r="M75" s="8"/>
      <c r="N75" s="8">
        <f>350000*0.0242</f>
        <v>8470</v>
      </c>
      <c r="O75" s="8">
        <f t="shared" si="10"/>
        <v>350000</v>
      </c>
      <c r="P75" t="s">
        <v>150</v>
      </c>
      <c r="Q75" s="9" t="s">
        <v>95</v>
      </c>
    </row>
    <row r="76" spans="1:17" x14ac:dyDescent="0.25">
      <c r="A76" s="11">
        <v>95</v>
      </c>
      <c r="B76" s="9" t="s">
        <v>100</v>
      </c>
      <c r="C76" t="s">
        <v>144</v>
      </c>
      <c r="D76">
        <v>59520000</v>
      </c>
      <c r="E76">
        <v>270</v>
      </c>
      <c r="F76" s="8">
        <v>16434.494999999999</v>
      </c>
      <c r="G76" s="8">
        <v>11960.8974</v>
      </c>
      <c r="H76" s="8"/>
      <c r="I76" s="8">
        <v>62.607600000000005</v>
      </c>
      <c r="J76" s="8">
        <f t="shared" si="9"/>
        <v>28457.999999999996</v>
      </c>
      <c r="K76" s="8">
        <v>32868.99</v>
      </c>
      <c r="L76" s="8">
        <v>23921.7948</v>
      </c>
      <c r="M76" s="8"/>
      <c r="N76" s="8">
        <v>125.21520000000001</v>
      </c>
      <c r="O76" s="8">
        <f t="shared" si="10"/>
        <v>56915.999999999993</v>
      </c>
      <c r="Q76" s="9" t="s">
        <v>185</v>
      </c>
    </row>
    <row r="77" spans="1:17" x14ac:dyDescent="0.25">
      <c r="A77" s="11">
        <v>95</v>
      </c>
      <c r="B77" s="9" t="s">
        <v>101</v>
      </c>
      <c r="C77" t="s">
        <v>144</v>
      </c>
      <c r="D77">
        <v>59520000</v>
      </c>
      <c r="E77">
        <v>271</v>
      </c>
      <c r="F77" s="8">
        <v>43312.5</v>
      </c>
      <c r="G77" s="8">
        <v>31522.5</v>
      </c>
      <c r="H77" s="8"/>
      <c r="I77" s="8">
        <v>165</v>
      </c>
      <c r="J77" s="8">
        <f t="shared" si="9"/>
        <v>75000</v>
      </c>
      <c r="K77" s="8">
        <v>43312.5</v>
      </c>
      <c r="L77" s="8">
        <v>31522.5</v>
      </c>
      <c r="M77" s="8"/>
      <c r="N77" s="8">
        <v>165</v>
      </c>
      <c r="O77" s="8">
        <f t="shared" si="10"/>
        <v>75000</v>
      </c>
      <c r="Q77" s="9" t="s">
        <v>175</v>
      </c>
    </row>
    <row r="78" spans="1:17" x14ac:dyDescent="0.25">
      <c r="A78" s="11">
        <v>95</v>
      </c>
      <c r="B78" s="9" t="s">
        <v>101</v>
      </c>
      <c r="C78" t="s">
        <v>144</v>
      </c>
      <c r="D78">
        <v>59520000</v>
      </c>
      <c r="E78">
        <v>272</v>
      </c>
      <c r="F78" s="8">
        <v>43312.5</v>
      </c>
      <c r="G78" s="8">
        <v>31522.5</v>
      </c>
      <c r="H78" s="8"/>
      <c r="I78" s="8">
        <v>165</v>
      </c>
      <c r="J78" s="8">
        <f t="shared" si="9"/>
        <v>75000</v>
      </c>
      <c r="K78" s="8">
        <v>8662.5</v>
      </c>
      <c r="L78" s="8">
        <v>6304.5</v>
      </c>
      <c r="M78" s="8"/>
      <c r="N78" s="8">
        <v>33</v>
      </c>
      <c r="O78" s="8">
        <f t="shared" si="10"/>
        <v>15000</v>
      </c>
      <c r="Q78" s="9" t="s">
        <v>101</v>
      </c>
    </row>
    <row r="79" spans="1:17" x14ac:dyDescent="0.25">
      <c r="A79" s="11">
        <v>95</v>
      </c>
      <c r="B79" s="9" t="s">
        <v>102</v>
      </c>
      <c r="C79" t="s">
        <v>144</v>
      </c>
      <c r="D79">
        <v>59520000</v>
      </c>
      <c r="E79">
        <v>273</v>
      </c>
      <c r="F79" s="8">
        <v>104527.5</v>
      </c>
      <c r="G79" s="8">
        <v>76074.3</v>
      </c>
      <c r="H79" s="8"/>
      <c r="I79" s="8">
        <v>398.20000000000005</v>
      </c>
      <c r="J79" s="8">
        <f t="shared" si="9"/>
        <v>181000</v>
      </c>
      <c r="K79" s="8">
        <v>0</v>
      </c>
      <c r="L79" s="8">
        <v>0</v>
      </c>
      <c r="M79" s="8"/>
      <c r="N79" s="8">
        <v>0</v>
      </c>
      <c r="O79" s="8">
        <f t="shared" si="10"/>
        <v>0</v>
      </c>
      <c r="Q79" s="9" t="s">
        <v>183</v>
      </c>
    </row>
    <row r="80" spans="1:17" x14ac:dyDescent="0.25">
      <c r="A80" s="11">
        <v>95</v>
      </c>
      <c r="B80" s="9" t="s">
        <v>103</v>
      </c>
      <c r="C80" t="s">
        <v>144</v>
      </c>
      <c r="D80">
        <v>59520000</v>
      </c>
      <c r="E80">
        <v>274</v>
      </c>
      <c r="F80" s="8">
        <v>173250</v>
      </c>
      <c r="G80" s="8">
        <v>126090</v>
      </c>
      <c r="H80" s="8"/>
      <c r="I80" s="8">
        <v>660</v>
      </c>
      <c r="J80" s="8">
        <f t="shared" si="9"/>
        <v>300000</v>
      </c>
      <c r="K80" s="8">
        <v>57750</v>
      </c>
      <c r="L80" s="8">
        <v>42030</v>
      </c>
      <c r="M80" s="8"/>
      <c r="N80" s="8">
        <v>220</v>
      </c>
      <c r="O80" s="8">
        <f t="shared" si="10"/>
        <v>100000</v>
      </c>
      <c r="Q80" s="9" t="s">
        <v>179</v>
      </c>
    </row>
    <row r="81" spans="1:17" x14ac:dyDescent="0.25">
      <c r="A81" s="11">
        <v>95</v>
      </c>
      <c r="B81" s="9" t="s">
        <v>103</v>
      </c>
      <c r="C81" t="s">
        <v>144</v>
      </c>
      <c r="D81">
        <v>59520000</v>
      </c>
      <c r="E81">
        <v>275</v>
      </c>
      <c r="F81" s="8">
        <v>48510</v>
      </c>
      <c r="G81" s="8">
        <v>35305.199999999997</v>
      </c>
      <c r="H81" s="8"/>
      <c r="I81" s="8">
        <v>184.8</v>
      </c>
      <c r="J81" s="8">
        <f t="shared" si="9"/>
        <v>84000</v>
      </c>
      <c r="K81" s="8">
        <v>0</v>
      </c>
      <c r="L81" s="8">
        <v>0</v>
      </c>
      <c r="M81" s="8"/>
      <c r="N81" s="8">
        <v>0</v>
      </c>
      <c r="O81" s="8">
        <f t="shared" si="10"/>
        <v>0</v>
      </c>
      <c r="Q81" s="9" t="s">
        <v>189</v>
      </c>
    </row>
    <row r="82" spans="1:17" ht="30" x14ac:dyDescent="0.25">
      <c r="A82" s="11">
        <v>95</v>
      </c>
      <c r="B82" s="9" t="s">
        <v>104</v>
      </c>
      <c r="C82" t="s">
        <v>144</v>
      </c>
      <c r="D82">
        <v>59520000</v>
      </c>
      <c r="E82">
        <v>276</v>
      </c>
      <c r="F82" s="8">
        <v>51793.087500000001</v>
      </c>
      <c r="G82" s="8">
        <v>37694.605499999998</v>
      </c>
      <c r="H82" s="8"/>
      <c r="I82" s="8">
        <v>197.30700000000002</v>
      </c>
      <c r="J82" s="8">
        <f t="shared" si="9"/>
        <v>89685</v>
      </c>
      <c r="K82" s="8">
        <v>53347.14</v>
      </c>
      <c r="L82" s="8">
        <v>38825.632799999999</v>
      </c>
      <c r="M82" s="8"/>
      <c r="N82" s="8">
        <v>203.22720000000001</v>
      </c>
      <c r="O82" s="8">
        <f t="shared" si="10"/>
        <v>92376</v>
      </c>
      <c r="Q82" s="9" t="s">
        <v>186</v>
      </c>
    </row>
    <row r="83" spans="1:17" x14ac:dyDescent="0.25">
      <c r="A83" s="11">
        <v>95</v>
      </c>
      <c r="B83" s="9" t="s">
        <v>104</v>
      </c>
      <c r="C83" t="s">
        <v>144</v>
      </c>
      <c r="D83">
        <v>59520000</v>
      </c>
      <c r="E83">
        <v>277</v>
      </c>
      <c r="F83" s="8">
        <v>121275</v>
      </c>
      <c r="G83" s="8">
        <v>88263</v>
      </c>
      <c r="H83" s="8"/>
      <c r="I83" s="8">
        <v>462</v>
      </c>
      <c r="J83" s="8">
        <f t="shared" si="9"/>
        <v>210000</v>
      </c>
      <c r="K83" s="8">
        <v>121275</v>
      </c>
      <c r="L83" s="8">
        <v>88263</v>
      </c>
      <c r="M83" s="8"/>
      <c r="N83" s="8">
        <v>462</v>
      </c>
      <c r="O83" s="8">
        <f t="shared" si="10"/>
        <v>210000</v>
      </c>
      <c r="Q83" s="9" t="s">
        <v>104</v>
      </c>
    </row>
    <row r="84" spans="1:17" ht="45" x14ac:dyDescent="0.25">
      <c r="A84" s="11">
        <v>95</v>
      </c>
      <c r="B84" s="9" t="s">
        <v>104</v>
      </c>
      <c r="C84" t="s">
        <v>144</v>
      </c>
      <c r="D84">
        <v>59520000</v>
      </c>
      <c r="E84">
        <v>278</v>
      </c>
      <c r="F84" s="8">
        <v>17325</v>
      </c>
      <c r="G84" s="8">
        <v>12609</v>
      </c>
      <c r="H84" s="8"/>
      <c r="I84" s="8">
        <v>66</v>
      </c>
      <c r="J84" s="8">
        <f t="shared" si="9"/>
        <v>30000</v>
      </c>
      <c r="K84" s="8">
        <v>19057.5</v>
      </c>
      <c r="L84" s="8">
        <v>13869.9</v>
      </c>
      <c r="M84" s="8"/>
      <c r="N84" s="8">
        <v>72.600000000000009</v>
      </c>
      <c r="O84" s="8">
        <f t="shared" si="10"/>
        <v>33000</v>
      </c>
      <c r="Q84" s="9" t="s">
        <v>193</v>
      </c>
    </row>
    <row r="85" spans="1:17" ht="30" x14ac:dyDescent="0.25">
      <c r="A85" s="11">
        <v>95</v>
      </c>
      <c r="B85" s="9" t="s">
        <v>104</v>
      </c>
      <c r="C85" t="s">
        <v>144</v>
      </c>
      <c r="D85">
        <v>59520000</v>
      </c>
      <c r="E85">
        <v>279</v>
      </c>
      <c r="F85" s="8">
        <v>693</v>
      </c>
      <c r="G85" s="8">
        <v>504.36</v>
      </c>
      <c r="H85" s="8"/>
      <c r="I85" s="8">
        <v>2.64</v>
      </c>
      <c r="J85" s="8">
        <f>SUM(F85:I85)</f>
        <v>1200.0000000000002</v>
      </c>
      <c r="K85" s="8">
        <v>713.79</v>
      </c>
      <c r="L85" s="8">
        <v>519.49080000000004</v>
      </c>
      <c r="M85" s="8"/>
      <c r="N85" s="8">
        <v>2.7192000000000003</v>
      </c>
      <c r="O85" s="8">
        <f t="shared" si="10"/>
        <v>1236</v>
      </c>
      <c r="Q85" s="9" t="s">
        <v>190</v>
      </c>
    </row>
    <row r="86" spans="1:17" x14ac:dyDescent="0.25">
      <c r="A86" s="11">
        <v>95</v>
      </c>
      <c r="B86" s="9" t="s">
        <v>104</v>
      </c>
      <c r="C86" t="s">
        <v>144</v>
      </c>
      <c r="D86">
        <v>59520000</v>
      </c>
      <c r="E86">
        <v>280</v>
      </c>
      <c r="F86" s="8">
        <v>2632.8225000000002</v>
      </c>
      <c r="G86" s="8">
        <v>1916.1477</v>
      </c>
      <c r="H86" s="8"/>
      <c r="I86" s="8">
        <v>10.0298</v>
      </c>
      <c r="J86" s="8">
        <f t="shared" si="9"/>
        <v>4559</v>
      </c>
      <c r="K86" s="8">
        <v>2887.5</v>
      </c>
      <c r="L86" s="8">
        <v>2101.5</v>
      </c>
      <c r="M86" s="8"/>
      <c r="N86" s="8">
        <v>11</v>
      </c>
      <c r="O86" s="8">
        <f t="shared" si="10"/>
        <v>5000</v>
      </c>
      <c r="Q86" s="9" t="s">
        <v>172</v>
      </c>
    </row>
    <row r="87" spans="1:17" ht="30" x14ac:dyDescent="0.25">
      <c r="A87" s="11">
        <v>95</v>
      </c>
      <c r="B87" s="9" t="s">
        <v>104</v>
      </c>
      <c r="C87" t="s">
        <v>144</v>
      </c>
      <c r="D87">
        <v>59520000</v>
      </c>
      <c r="E87">
        <v>281</v>
      </c>
      <c r="F87" s="8">
        <v>2367.75</v>
      </c>
      <c r="G87" s="8">
        <v>1723.23</v>
      </c>
      <c r="H87" s="8"/>
      <c r="I87" s="8">
        <v>9.0200000000000014</v>
      </c>
      <c r="J87" s="8">
        <f t="shared" si="9"/>
        <v>4100</v>
      </c>
      <c r="K87" s="8">
        <v>2367.75</v>
      </c>
      <c r="L87" s="8">
        <v>1723.23</v>
      </c>
      <c r="M87" s="8"/>
      <c r="N87" s="8">
        <v>9.0200000000000014</v>
      </c>
      <c r="O87" s="8">
        <f t="shared" si="10"/>
        <v>4100</v>
      </c>
      <c r="Q87" s="9" t="s">
        <v>195</v>
      </c>
    </row>
    <row r="88" spans="1:17" ht="30" x14ac:dyDescent="0.25">
      <c r="A88" s="11">
        <v>95</v>
      </c>
      <c r="B88" s="9" t="s">
        <v>104</v>
      </c>
      <c r="C88" t="s">
        <v>144</v>
      </c>
      <c r="D88">
        <v>59520000</v>
      </c>
      <c r="E88">
        <v>282</v>
      </c>
      <c r="F88" s="8">
        <v>17325</v>
      </c>
      <c r="G88" s="8">
        <v>12609</v>
      </c>
      <c r="H88" s="8"/>
      <c r="I88" s="8">
        <v>66</v>
      </c>
      <c r="J88" s="8">
        <f t="shared" si="9"/>
        <v>30000</v>
      </c>
      <c r="K88" s="8">
        <v>17325</v>
      </c>
      <c r="L88" s="8">
        <v>12609</v>
      </c>
      <c r="M88" s="8"/>
      <c r="N88" s="8">
        <v>66</v>
      </c>
      <c r="O88" s="8">
        <f t="shared" si="10"/>
        <v>30000</v>
      </c>
      <c r="Q88" s="9" t="s">
        <v>173</v>
      </c>
    </row>
    <row r="89" spans="1:17" x14ac:dyDescent="0.25">
      <c r="A89" s="11">
        <v>95</v>
      </c>
      <c r="B89" s="9" t="s">
        <v>104</v>
      </c>
      <c r="C89" t="s">
        <v>144</v>
      </c>
      <c r="D89">
        <v>59520000</v>
      </c>
      <c r="E89">
        <v>283</v>
      </c>
      <c r="F89" s="8">
        <v>17325</v>
      </c>
      <c r="G89" s="8">
        <v>12609</v>
      </c>
      <c r="H89" s="8"/>
      <c r="I89" s="8">
        <v>66</v>
      </c>
      <c r="J89" s="8">
        <f t="shared" si="9"/>
        <v>30000</v>
      </c>
      <c r="K89" s="8">
        <v>17325</v>
      </c>
      <c r="L89" s="8">
        <v>12609</v>
      </c>
      <c r="M89" s="8"/>
      <c r="N89" s="8">
        <v>66</v>
      </c>
      <c r="O89" s="8">
        <f t="shared" si="10"/>
        <v>30000</v>
      </c>
      <c r="Q89" s="9" t="s">
        <v>176</v>
      </c>
    </row>
    <row r="90" spans="1:17" ht="30" x14ac:dyDescent="0.25">
      <c r="A90" s="11">
        <v>95</v>
      </c>
      <c r="B90" s="9" t="s">
        <v>104</v>
      </c>
      <c r="C90" t="s">
        <v>144</v>
      </c>
      <c r="D90">
        <v>59520000</v>
      </c>
      <c r="E90">
        <v>284</v>
      </c>
      <c r="F90" s="8">
        <v>18494.4375</v>
      </c>
      <c r="G90" s="8">
        <v>13460.1075</v>
      </c>
      <c r="H90" s="8"/>
      <c r="I90" s="8">
        <v>70.454999999999998</v>
      </c>
      <c r="J90" s="8">
        <f t="shared" si="9"/>
        <v>32025</v>
      </c>
      <c r="K90" s="8">
        <v>19049.415000000001</v>
      </c>
      <c r="L90" s="8">
        <v>13864.015800000001</v>
      </c>
      <c r="M90" s="8"/>
      <c r="N90" s="8">
        <v>72.569200000000009</v>
      </c>
      <c r="O90" s="8">
        <f t="shared" si="10"/>
        <v>32986</v>
      </c>
      <c r="Q90" s="9" t="s">
        <v>174</v>
      </c>
    </row>
    <row r="91" spans="1:17" ht="30" x14ac:dyDescent="0.25">
      <c r="A91" s="11">
        <v>95</v>
      </c>
      <c r="B91" s="9" t="s">
        <v>104</v>
      </c>
      <c r="C91" t="s">
        <v>144</v>
      </c>
      <c r="D91">
        <v>59520000</v>
      </c>
      <c r="E91">
        <v>285</v>
      </c>
      <c r="F91" s="8">
        <v>37996.035000000003</v>
      </c>
      <c r="G91" s="8">
        <v>27653.218199999999</v>
      </c>
      <c r="H91" s="8"/>
      <c r="I91" s="8">
        <v>144.74680000000001</v>
      </c>
      <c r="J91" s="8">
        <f t="shared" si="9"/>
        <v>65794</v>
      </c>
      <c r="K91" s="8">
        <v>39896.01</v>
      </c>
      <c r="L91" s="8">
        <v>29036.0052</v>
      </c>
      <c r="M91" s="8"/>
      <c r="N91" s="8">
        <v>151.98480000000001</v>
      </c>
      <c r="O91" s="8">
        <f t="shared" si="10"/>
        <v>69084</v>
      </c>
      <c r="Q91" s="9" t="s">
        <v>180</v>
      </c>
    </row>
    <row r="92" spans="1:17" x14ac:dyDescent="0.25">
      <c r="A92" s="11">
        <v>95</v>
      </c>
      <c r="B92" s="9" t="s">
        <v>104</v>
      </c>
      <c r="C92" t="s">
        <v>144</v>
      </c>
      <c r="D92">
        <v>59520000</v>
      </c>
      <c r="E92">
        <v>286</v>
      </c>
      <c r="F92" s="8">
        <v>18191.25</v>
      </c>
      <c r="G92" s="8">
        <v>13239.45</v>
      </c>
      <c r="H92" s="8"/>
      <c r="I92" s="8">
        <v>69.3</v>
      </c>
      <c r="J92" s="8">
        <f t="shared" si="9"/>
        <v>31500</v>
      </c>
      <c r="K92" s="8">
        <v>18736.987499999999</v>
      </c>
      <c r="L92" s="8">
        <v>13636.6335</v>
      </c>
      <c r="M92" s="8"/>
      <c r="N92" s="8">
        <v>71.379000000000005</v>
      </c>
      <c r="O92" s="8">
        <f t="shared" si="10"/>
        <v>32445</v>
      </c>
      <c r="Q92" s="9" t="s">
        <v>177</v>
      </c>
    </row>
    <row r="93" spans="1:17" ht="30" x14ac:dyDescent="0.25">
      <c r="A93" s="11">
        <v>95</v>
      </c>
      <c r="B93" s="9" t="s">
        <v>104</v>
      </c>
      <c r="C93" t="s">
        <v>144</v>
      </c>
      <c r="D93">
        <v>59520000</v>
      </c>
      <c r="E93">
        <v>287</v>
      </c>
      <c r="F93" s="8">
        <v>17325</v>
      </c>
      <c r="G93" s="8">
        <v>12609</v>
      </c>
      <c r="H93" s="8"/>
      <c r="I93" s="8">
        <v>66</v>
      </c>
      <c r="J93" s="8">
        <f t="shared" si="9"/>
        <v>30000</v>
      </c>
      <c r="K93" s="8">
        <v>17325</v>
      </c>
      <c r="L93" s="8">
        <v>12609</v>
      </c>
      <c r="M93" s="8"/>
      <c r="N93" s="8">
        <v>66</v>
      </c>
      <c r="O93" s="8">
        <f t="shared" si="10"/>
        <v>30000</v>
      </c>
      <c r="Q93" s="9" t="s">
        <v>187</v>
      </c>
    </row>
    <row r="94" spans="1:17" ht="30" x14ac:dyDescent="0.25">
      <c r="A94" s="11">
        <v>95</v>
      </c>
      <c r="B94" s="9" t="s">
        <v>104</v>
      </c>
      <c r="C94" t="s">
        <v>144</v>
      </c>
      <c r="D94">
        <v>59520000</v>
      </c>
      <c r="E94">
        <v>288</v>
      </c>
      <c r="F94" s="8">
        <v>457789.44750000001</v>
      </c>
      <c r="G94" s="8">
        <v>333175.59269999998</v>
      </c>
      <c r="H94" s="8"/>
      <c r="I94" s="8">
        <v>1743.9598000000001</v>
      </c>
      <c r="J94" s="8">
        <f t="shared" si="9"/>
        <v>792708.99999999988</v>
      </c>
      <c r="K94" s="8">
        <v>0</v>
      </c>
      <c r="L94" s="8">
        <v>0</v>
      </c>
      <c r="M94" s="8"/>
      <c r="N94" s="8">
        <v>0</v>
      </c>
      <c r="O94" s="8">
        <f t="shared" si="10"/>
        <v>0</v>
      </c>
      <c r="Q94" s="9" t="s">
        <v>182</v>
      </c>
    </row>
    <row r="95" spans="1:17" x14ac:dyDescent="0.25">
      <c r="A95" s="11">
        <v>95</v>
      </c>
      <c r="B95" s="9" t="s">
        <v>104</v>
      </c>
      <c r="C95" t="s">
        <v>144</v>
      </c>
      <c r="D95">
        <v>59520000</v>
      </c>
      <c r="E95">
        <v>289</v>
      </c>
      <c r="F95" s="8">
        <v>60637.5</v>
      </c>
      <c r="G95" s="8">
        <v>44131.5</v>
      </c>
      <c r="H95" s="8"/>
      <c r="I95" s="8">
        <v>231</v>
      </c>
      <c r="J95" s="8">
        <f t="shared" si="9"/>
        <v>105000</v>
      </c>
      <c r="K95" s="8">
        <v>0</v>
      </c>
      <c r="L95" s="8">
        <v>0</v>
      </c>
      <c r="M95" s="8"/>
      <c r="N95" s="8">
        <v>0</v>
      </c>
      <c r="O95" s="8">
        <f t="shared" si="10"/>
        <v>0</v>
      </c>
      <c r="Q95" s="9" t="s">
        <v>178</v>
      </c>
    </row>
    <row r="96" spans="1:17" x14ac:dyDescent="0.25">
      <c r="A96" s="11">
        <v>95</v>
      </c>
      <c r="B96" s="9" t="s">
        <v>105</v>
      </c>
      <c r="C96" t="s">
        <v>144</v>
      </c>
      <c r="D96">
        <v>59520000</v>
      </c>
      <c r="E96">
        <v>290</v>
      </c>
      <c r="F96" s="8">
        <v>121275</v>
      </c>
      <c r="G96" s="8">
        <v>88263</v>
      </c>
      <c r="H96" s="8"/>
      <c r="I96" s="8">
        <v>462</v>
      </c>
      <c r="J96" s="8">
        <f t="shared" si="9"/>
        <v>210000</v>
      </c>
      <c r="K96" s="8">
        <v>121275</v>
      </c>
      <c r="L96" s="8">
        <v>88263</v>
      </c>
      <c r="M96" s="8"/>
      <c r="N96" s="8">
        <v>462</v>
      </c>
      <c r="O96" s="8">
        <f t="shared" si="10"/>
        <v>210000</v>
      </c>
      <c r="Q96" s="9" t="s">
        <v>181</v>
      </c>
    </row>
    <row r="97" spans="1:17" ht="45" x14ac:dyDescent="0.25">
      <c r="A97" s="11">
        <v>95</v>
      </c>
      <c r="B97" s="9" t="s">
        <v>105</v>
      </c>
      <c r="C97" t="s">
        <v>144</v>
      </c>
      <c r="D97">
        <v>59520000</v>
      </c>
      <c r="E97">
        <v>291</v>
      </c>
      <c r="F97" s="8">
        <v>5948.25</v>
      </c>
      <c r="G97" s="8">
        <v>4329.09</v>
      </c>
      <c r="H97" s="8"/>
      <c r="I97" s="8">
        <v>22.66</v>
      </c>
      <c r="J97" s="8">
        <f t="shared" si="9"/>
        <v>10300</v>
      </c>
      <c r="K97" s="8">
        <v>5948.25</v>
      </c>
      <c r="L97" s="8">
        <v>4329.09</v>
      </c>
      <c r="M97" s="8"/>
      <c r="N97" s="8">
        <v>22.66</v>
      </c>
      <c r="O97" s="8">
        <f t="shared" si="10"/>
        <v>10300</v>
      </c>
      <c r="Q97" s="9" t="s">
        <v>196</v>
      </c>
    </row>
    <row r="98" spans="1:17" x14ac:dyDescent="0.25">
      <c r="A98" s="11">
        <v>95</v>
      </c>
      <c r="B98" s="9" t="s">
        <v>105</v>
      </c>
      <c r="C98" t="s">
        <v>144</v>
      </c>
      <c r="D98">
        <v>59520000</v>
      </c>
      <c r="E98">
        <v>292</v>
      </c>
      <c r="F98" s="8">
        <v>5948.25</v>
      </c>
      <c r="G98" s="8">
        <v>4329.09</v>
      </c>
      <c r="H98" s="8"/>
      <c r="I98" s="8">
        <v>22.66</v>
      </c>
      <c r="J98" s="8">
        <f t="shared" si="9"/>
        <v>10300</v>
      </c>
      <c r="K98" s="8">
        <v>5948.25</v>
      </c>
      <c r="L98" s="8">
        <v>4329.09</v>
      </c>
      <c r="M98" s="8"/>
      <c r="N98" s="8">
        <v>22.66</v>
      </c>
      <c r="O98" s="8">
        <f t="shared" si="10"/>
        <v>10300</v>
      </c>
      <c r="Q98" s="9" t="s">
        <v>105</v>
      </c>
    </row>
    <row r="99" spans="1:17" ht="30" x14ac:dyDescent="0.25">
      <c r="A99" s="11">
        <v>95</v>
      </c>
      <c r="B99" s="9" t="s">
        <v>106</v>
      </c>
      <c r="C99" t="s">
        <v>144</v>
      </c>
      <c r="D99">
        <v>59520000</v>
      </c>
      <c r="E99">
        <v>293</v>
      </c>
      <c r="F99" s="8">
        <v>3854.8125</v>
      </c>
      <c r="G99" s="8">
        <v>2805.5025000000001</v>
      </c>
      <c r="H99" s="8"/>
      <c r="I99" s="8">
        <v>14.685</v>
      </c>
      <c r="J99" s="8">
        <f t="shared" si="9"/>
        <v>6675.0000000000009</v>
      </c>
      <c r="K99" s="8">
        <v>3854.8125</v>
      </c>
      <c r="L99" s="8">
        <v>2805.5025000000001</v>
      </c>
      <c r="M99" s="8"/>
      <c r="N99" s="8">
        <v>14.685</v>
      </c>
      <c r="O99" s="8">
        <f t="shared" si="10"/>
        <v>6675.0000000000009</v>
      </c>
      <c r="Q99" s="9" t="s">
        <v>184</v>
      </c>
    </row>
    <row r="100" spans="1:17" ht="30" x14ac:dyDescent="0.25">
      <c r="A100" s="11">
        <v>95</v>
      </c>
      <c r="B100" s="9" t="s">
        <v>107</v>
      </c>
      <c r="C100" t="s">
        <v>144</v>
      </c>
      <c r="D100">
        <v>59520000</v>
      </c>
      <c r="E100">
        <v>294</v>
      </c>
      <c r="F100" s="8">
        <v>14437.5</v>
      </c>
      <c r="G100" s="8">
        <v>10507.5</v>
      </c>
      <c r="H100" s="8"/>
      <c r="I100" s="8">
        <v>55</v>
      </c>
      <c r="J100" s="8">
        <f t="shared" si="9"/>
        <v>25000</v>
      </c>
      <c r="K100" s="8">
        <v>0</v>
      </c>
      <c r="L100" s="8">
        <v>0</v>
      </c>
      <c r="M100" s="8"/>
      <c r="N100" s="8">
        <v>0</v>
      </c>
      <c r="O100" s="8">
        <f t="shared" si="10"/>
        <v>0</v>
      </c>
      <c r="Q100" s="9" t="s">
        <v>188</v>
      </c>
    </row>
    <row r="101" spans="1:17" x14ac:dyDescent="0.25">
      <c r="A101" s="11">
        <v>95</v>
      </c>
      <c r="B101" s="9" t="s">
        <v>108</v>
      </c>
      <c r="C101" t="s">
        <v>144</v>
      </c>
      <c r="D101">
        <v>59520000</v>
      </c>
      <c r="E101">
        <v>295</v>
      </c>
      <c r="F101" s="8">
        <v>144375</v>
      </c>
      <c r="G101" s="8">
        <v>105075</v>
      </c>
      <c r="H101" s="8"/>
      <c r="I101" s="8">
        <v>550</v>
      </c>
      <c r="J101" s="8">
        <f t="shared" si="9"/>
        <v>250000</v>
      </c>
      <c r="K101" s="8">
        <v>144375</v>
      </c>
      <c r="L101" s="8">
        <v>105075</v>
      </c>
      <c r="M101" s="8"/>
      <c r="N101" s="8">
        <v>550</v>
      </c>
      <c r="O101" s="8">
        <f t="shared" si="10"/>
        <v>250000</v>
      </c>
      <c r="Q101" s="9" t="s">
        <v>191</v>
      </c>
    </row>
    <row r="102" spans="1:17" ht="45" x14ac:dyDescent="0.25">
      <c r="A102" s="11">
        <v>95</v>
      </c>
      <c r="B102" s="9" t="s">
        <v>108</v>
      </c>
      <c r="C102" t="s">
        <v>144</v>
      </c>
      <c r="D102">
        <v>59520000</v>
      </c>
      <c r="E102">
        <v>296</v>
      </c>
      <c r="F102" s="8">
        <v>180180</v>
      </c>
      <c r="G102" s="8">
        <v>131133.6</v>
      </c>
      <c r="H102" s="8"/>
      <c r="I102" s="8">
        <v>686.40000000000009</v>
      </c>
      <c r="J102" s="8">
        <f t="shared" si="9"/>
        <v>312000</v>
      </c>
      <c r="K102" s="8">
        <v>86324.7</v>
      </c>
      <c r="L102" s="8">
        <v>62826.444000000003</v>
      </c>
      <c r="M102" s="8"/>
      <c r="N102" s="8">
        <v>328.85599999999999</v>
      </c>
      <c r="O102" s="8">
        <f t="shared" si="10"/>
        <v>149480</v>
      </c>
      <c r="Q102" s="9" t="s">
        <v>192</v>
      </c>
    </row>
    <row r="103" spans="1:17" ht="30" x14ac:dyDescent="0.25">
      <c r="A103" s="11">
        <v>95</v>
      </c>
      <c r="B103" s="9" t="s">
        <v>108</v>
      </c>
      <c r="C103" t="s">
        <v>144</v>
      </c>
      <c r="D103">
        <v>59520000</v>
      </c>
      <c r="E103">
        <v>297</v>
      </c>
      <c r="F103" s="8">
        <v>14437.5</v>
      </c>
      <c r="G103" s="8">
        <v>10507.5</v>
      </c>
      <c r="H103" s="8"/>
      <c r="I103" s="8">
        <v>55</v>
      </c>
      <c r="J103" s="8">
        <f t="shared" si="9"/>
        <v>25000</v>
      </c>
      <c r="K103" s="8">
        <v>14437.5</v>
      </c>
      <c r="L103" s="8">
        <v>10507.5</v>
      </c>
      <c r="M103" s="8"/>
      <c r="N103" s="8">
        <v>55</v>
      </c>
      <c r="O103" s="8">
        <f t="shared" si="10"/>
        <v>25000</v>
      </c>
      <c r="Q103" s="9" t="s">
        <v>194</v>
      </c>
    </row>
    <row r="104" spans="1:17" s="10" customFormat="1" x14ac:dyDescent="0.25">
      <c r="A104" s="14"/>
      <c r="B104" s="15"/>
      <c r="F104" s="19"/>
      <c r="G104" s="19"/>
      <c r="H104" s="19"/>
      <c r="I104" s="19"/>
      <c r="J104" s="19"/>
      <c r="K104" s="19"/>
      <c r="L104" s="19"/>
      <c r="M104" s="19"/>
      <c r="N104" s="19"/>
      <c r="O104" s="19"/>
      <c r="Q104" s="15"/>
    </row>
    <row r="105" spans="1:17" x14ac:dyDescent="0.25">
      <c r="F105" s="8"/>
      <c r="G105" s="8"/>
      <c r="H105" s="8"/>
      <c r="I105" s="8"/>
      <c r="J105" s="8"/>
      <c r="K105" s="8"/>
      <c r="L105" s="8"/>
      <c r="M105" s="8"/>
      <c r="N105" s="8"/>
      <c r="O105" s="8"/>
    </row>
    <row r="106" spans="1:17" x14ac:dyDescent="0.25">
      <c r="F106" s="8"/>
      <c r="G106" s="8"/>
      <c r="H106" s="8"/>
      <c r="I106" s="8"/>
      <c r="J106" s="8"/>
      <c r="K106" s="8"/>
      <c r="L106" s="8"/>
      <c r="M106" s="8"/>
      <c r="N106" s="8"/>
      <c r="O106" s="8"/>
    </row>
    <row r="107" spans="1:17" x14ac:dyDescent="0.25">
      <c r="F107" s="8"/>
      <c r="G107" s="8"/>
      <c r="H107" s="8"/>
      <c r="I107" s="8"/>
      <c r="J107" s="8"/>
      <c r="K107" s="8"/>
      <c r="L107" s="8"/>
      <c r="M107" s="8"/>
      <c r="N107" s="8"/>
      <c r="O107" s="8"/>
    </row>
    <row r="108" spans="1:17" x14ac:dyDescent="0.25">
      <c r="F108" s="8"/>
      <c r="G108" s="8"/>
      <c r="H108" s="8"/>
      <c r="I108" s="8"/>
      <c r="J108" s="8"/>
      <c r="K108" s="8"/>
      <c r="L108" s="8"/>
      <c r="M108" s="8"/>
      <c r="N108" s="8"/>
      <c r="O108" s="8"/>
    </row>
    <row r="109" spans="1:17" x14ac:dyDescent="0.25">
      <c r="F109" s="8"/>
      <c r="G109" s="8"/>
      <c r="H109" s="8"/>
      <c r="I109" s="8"/>
      <c r="J109" s="8"/>
      <c r="K109" s="8"/>
      <c r="L109" s="8"/>
      <c r="M109" s="8"/>
      <c r="N109" s="8"/>
      <c r="O109" s="8"/>
    </row>
    <row r="110" spans="1:17" x14ac:dyDescent="0.25">
      <c r="F110" s="8"/>
      <c r="G110" s="8"/>
      <c r="H110" s="8"/>
      <c r="I110" s="8"/>
      <c r="J110" s="8"/>
      <c r="K110" s="8"/>
      <c r="L110" s="8"/>
      <c r="M110" s="8"/>
      <c r="N110" s="8"/>
      <c r="O110" s="8"/>
    </row>
    <row r="111" spans="1:17" x14ac:dyDescent="0.25">
      <c r="F111" s="8"/>
      <c r="G111" s="8"/>
      <c r="H111" s="8"/>
      <c r="I111" s="8"/>
      <c r="J111" s="8"/>
      <c r="K111" s="8"/>
      <c r="L111" s="8"/>
      <c r="M111" s="8"/>
      <c r="N111" s="8"/>
      <c r="O111" s="8"/>
    </row>
    <row r="112" spans="1:17" x14ac:dyDescent="0.25">
      <c r="F112" s="8"/>
      <c r="G112" s="8"/>
      <c r="H112" s="8"/>
      <c r="I112" s="8"/>
      <c r="J112" s="8"/>
      <c r="K112" s="8"/>
      <c r="L112" s="8"/>
      <c r="M112" s="8"/>
      <c r="N112" s="8"/>
      <c r="O112" s="8"/>
    </row>
    <row r="113" spans="6:15" x14ac:dyDescent="0.25">
      <c r="F113" s="8"/>
      <c r="G113" s="8"/>
      <c r="H113" s="8"/>
      <c r="I113" s="8"/>
      <c r="J113" s="8"/>
      <c r="K113" s="8"/>
      <c r="L113" s="8"/>
      <c r="M113" s="8"/>
      <c r="N113" s="8"/>
      <c r="O113" s="8"/>
    </row>
    <row r="114" spans="6:15" x14ac:dyDescent="0.25">
      <c r="F114" s="8"/>
      <c r="G114" s="8"/>
      <c r="H114" s="8"/>
      <c r="I114" s="8"/>
      <c r="J114" s="8"/>
      <c r="K114" s="8"/>
      <c r="L114" s="8"/>
      <c r="M114" s="8"/>
      <c r="N114" s="8"/>
      <c r="O114" s="8"/>
    </row>
    <row r="115" spans="6:15" x14ac:dyDescent="0.25">
      <c r="F115" s="8"/>
      <c r="G115" s="8"/>
      <c r="H115" s="8"/>
      <c r="I115" s="8"/>
      <c r="J115" s="8"/>
      <c r="K115" s="8"/>
      <c r="L115" s="8"/>
      <c r="M115" s="8"/>
      <c r="N115" s="8"/>
      <c r="O115" s="8"/>
    </row>
    <row r="116" spans="6:15" x14ac:dyDescent="0.25">
      <c r="F116" s="8"/>
      <c r="G116" s="8"/>
      <c r="H116" s="8"/>
      <c r="I116" s="8"/>
      <c r="J116" s="8"/>
      <c r="K116" s="8"/>
      <c r="L116" s="8"/>
      <c r="M116" s="8"/>
      <c r="N116" s="8"/>
      <c r="O116" s="8"/>
    </row>
    <row r="117" spans="6:15" x14ac:dyDescent="0.25">
      <c r="F117" s="8"/>
      <c r="G117" s="8"/>
      <c r="H117" s="8"/>
      <c r="I117" s="8"/>
      <c r="J117" s="8"/>
      <c r="K117" s="8"/>
      <c r="L117" s="8"/>
      <c r="M117" s="8"/>
      <c r="N117" s="8"/>
      <c r="O117" s="8"/>
    </row>
    <row r="118" spans="6:15" x14ac:dyDescent="0.25">
      <c r="F118" s="8"/>
      <c r="G118" s="8"/>
      <c r="H118" s="8"/>
      <c r="I118" s="8"/>
      <c r="J118" s="8"/>
      <c r="K118" s="8"/>
      <c r="L118" s="8"/>
      <c r="M118" s="8"/>
      <c r="N118" s="8"/>
      <c r="O118" s="8"/>
    </row>
    <row r="119" spans="6:15" x14ac:dyDescent="0.25">
      <c r="F119" s="8"/>
      <c r="G119" s="8"/>
      <c r="H119" s="8"/>
      <c r="I119" s="8"/>
      <c r="J119" s="8"/>
      <c r="K119" s="8"/>
      <c r="L119" s="8"/>
      <c r="M119" s="8"/>
      <c r="N119" s="8"/>
      <c r="O119" s="8"/>
    </row>
    <row r="120" spans="6:15" x14ac:dyDescent="0.25">
      <c r="F120" s="8"/>
      <c r="G120" s="8"/>
      <c r="H120" s="8"/>
      <c r="I120" s="8"/>
      <c r="J120" s="8"/>
      <c r="K120" s="8"/>
      <c r="L120" s="8"/>
      <c r="M120" s="8"/>
      <c r="N120" s="8"/>
      <c r="O120" s="8"/>
    </row>
    <row r="121" spans="6:15" x14ac:dyDescent="0.25">
      <c r="F121" s="8"/>
      <c r="G121" s="8"/>
      <c r="H121" s="8"/>
      <c r="I121" s="8"/>
      <c r="J121" s="8"/>
      <c r="K121" s="8"/>
      <c r="L121" s="8"/>
      <c r="M121" s="8"/>
      <c r="N121" s="8"/>
      <c r="O121" s="8"/>
    </row>
    <row r="122" spans="6:15" x14ac:dyDescent="0.25">
      <c r="F122" s="8"/>
      <c r="G122" s="8"/>
      <c r="H122" s="8"/>
      <c r="I122" s="8"/>
      <c r="J122" s="8"/>
      <c r="K122" s="8"/>
      <c r="L122" s="8"/>
      <c r="M122" s="8"/>
      <c r="N122" s="8"/>
      <c r="O122" s="8"/>
    </row>
  </sheetData>
  <pageMargins left="0.25" right="0.25" top="0.75" bottom="0.75" header="0.3" footer="0.3"/>
  <pageSetup paperSize="5" scale="47" fitToHeight="0" orientation="landscape" r:id="rId1"/>
  <headerFooter>
    <oddFooter>&amp;R&amp;P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Note</vt:lpstr>
      <vt:lpstr>Unbudgeted Prioritized Needs</vt:lpstr>
      <vt:lpstr>'Unbudgeted Prioritized Needs'!Print_Titles</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 Zellem</dc:creator>
  <cp:lastModifiedBy>Fjeldsted, Jonah</cp:lastModifiedBy>
  <cp:lastPrinted>2020-11-19T20:46:11Z</cp:lastPrinted>
  <dcterms:created xsi:type="dcterms:W3CDTF">2020-08-14T13:36:56Z</dcterms:created>
  <dcterms:modified xsi:type="dcterms:W3CDTF">2021-02-26T13:03:53Z</dcterms:modified>
</cp:coreProperties>
</file>